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8" windowWidth="14808" windowHeight="7776" tabRatio="214"/>
  </bookViews>
  <sheets>
    <sheet name="Критерии 2019" sheetId="1" r:id="rId1"/>
    <sheet name="Победители 2019 " sheetId="2" r:id="rId2"/>
  </sheets>
  <definedNames>
    <definedName name="_xlnm._FilterDatabase" localSheetId="1" hidden="1">'Победители 2019 '!$B$2:$D$2</definedName>
    <definedName name="Z_0B145DF9_19B2_4E34_B78C_EC9A292BD606_.wvu.FilterData" localSheetId="1" hidden="1">'Победители 2019 '!$B$3:$D$33</definedName>
    <definedName name="Z_1C8297EA_FBDC_4B6C_A030_80671E805CF7_.wvu.FilterData" localSheetId="1" hidden="1">'Победители 2019 '!$B$2:$D$2</definedName>
    <definedName name="Z_1C8297EA_FBDC_4B6C_A030_80671E805CF7_.wvu.PrintArea" localSheetId="1" hidden="1">'Победители 2019 '!$A$1:$D$35</definedName>
    <definedName name="Z_475A69F9_7C3A_4A9F_A260_F2B8EEBCB51B_.wvu.FilterData" localSheetId="1" hidden="1">'Победители 2019 '!$B$3:$D$33</definedName>
    <definedName name="Z_7818ED01_037A_421C_8C05_EEF4926917A5_.wvu.FilterData" localSheetId="1" hidden="1">'Победители 2019 '!$B$2:$D$2</definedName>
    <definedName name="Z_B8DE4105_2838_41CE_A85E_DA5ECFB9F35F_.wvu.FilterData" localSheetId="1" hidden="1">'Победители 2019 '!$B$2:$D$2</definedName>
    <definedName name="Z_B8DE4105_2838_41CE_A85E_DA5ECFB9F35F_.wvu.PrintArea" localSheetId="1" hidden="1">'Победители 2019 '!$B$1:$D$33</definedName>
    <definedName name="Z_BB88F7DE_0D85_4EBA_95A2_F55DB45D50E4_.wvu.FilterData" localSheetId="1" hidden="1">'Победители 2019 '!$B$2:$D$2</definedName>
    <definedName name="Z_BB88F7DE_0D85_4EBA_95A2_F55DB45D50E4_.wvu.PrintArea" localSheetId="1" hidden="1">'Победители 2019 '!$A$1:$D$33</definedName>
    <definedName name="Z_C4AB6BA3_F374_4F40_B226_67EE33D5A553_.wvu.FilterData" localSheetId="1" hidden="1">'Победители 2019 '!$B$2:$D$2</definedName>
    <definedName name="_xlnm.Print_Area" localSheetId="0">'Критерии 2019'!$A$1:$AL$50</definedName>
    <definedName name="_xlnm.Print_Area" localSheetId="1">'Победители 2019 '!$A$1:$D$36</definedName>
  </definedNames>
  <calcPr calcId="144525"/>
  <customWorkbookViews>
    <customWorkbookView name="Звада Дарья Александровна - Личное представление" guid="{1C8297EA-FBDC-4B6C-A030-80671E805CF7}" mergeInterval="0" personalView="1" maximized="1" windowWidth="1916" windowHeight="759" tabRatio="214" activeSheetId="1"/>
    <customWorkbookView name="Дикарева Ольга Павловна - Личное представление" guid="{BB88F7DE-0D85-4EBA-95A2-F55DB45D50E4}" mergeInterval="0" personalView="1" maximized="1" windowWidth="1916" windowHeight="943" tabRatio="214" activeSheetId="1" showComments="commIndAndComment"/>
    <customWorkbookView name="Пономарёва Алена Юрьевна - Личное представление" guid="{7818ED01-037A-421C-8C05-EEF4926917A5}" mergeInterval="0" personalView="1" maximized="1" windowWidth="1916" windowHeight="835" tabRatio="113" activeSheetId="2"/>
    <customWorkbookView name="Николаева Ольга Владимировна - Личное представление" guid="{B8DE4105-2838-41CE-A85E-DA5ECFB9F35F}" mergeInterval="0" personalView="1" maximized="1" windowWidth="1916" windowHeight="823" tabRatio="214" activeSheetId="1"/>
    <customWorkbookView name="Московкина Лариса Денисовна - Личное представление" guid="{C4AB6BA3-F374-4F40-B226-67EE33D5A553}" mergeInterval="0" personalView="1" maximized="1" windowWidth="1916" windowHeight="807" tabRatio="462" activeSheetId="2"/>
  </customWorkbookViews>
  <fileRecoveryPr autoRecover="0"/>
</workbook>
</file>

<file path=xl/calcChain.xml><?xml version="1.0" encoding="utf-8"?>
<calcChain xmlns="http://schemas.openxmlformats.org/spreadsheetml/2006/main">
  <c r="H30" i="1" l="1"/>
  <c r="H33" i="1"/>
  <c r="M32" i="1"/>
  <c r="N31" i="1"/>
  <c r="O33" i="1"/>
  <c r="P32" i="1"/>
  <c r="Q34" i="1"/>
  <c r="R31" i="1"/>
  <c r="S34" i="1"/>
  <c r="T32" i="1"/>
  <c r="U31" i="1"/>
  <c r="G26" i="1" l="1"/>
  <c r="S30" i="1" l="1"/>
  <c r="AJ30" i="1"/>
  <c r="AH30" i="1"/>
  <c r="AH33" i="1"/>
  <c r="Q30" i="1"/>
  <c r="S41" i="1"/>
  <c r="AH14" i="1" l="1"/>
  <c r="AH10" i="1"/>
  <c r="AL14" i="1"/>
  <c r="AL7" i="1"/>
  <c r="B14" i="2"/>
  <c r="AL41" i="1" l="1"/>
  <c r="AL30" i="1"/>
  <c r="AL34" i="1"/>
  <c r="AI34" i="1"/>
  <c r="AL21" i="1"/>
  <c r="AL27" i="1"/>
  <c r="AK27" i="1"/>
  <c r="AL5" i="1"/>
  <c r="AK41" i="1"/>
  <c r="AK34" i="1"/>
  <c r="AK30" i="1"/>
  <c r="B31" i="2"/>
  <c r="C31" i="2"/>
  <c r="B34" i="2"/>
  <c r="AJ34" i="1"/>
  <c r="AK21" i="1"/>
  <c r="AJ27" i="1"/>
  <c r="AK5" i="1"/>
  <c r="AK12" i="1"/>
  <c r="AJ13" i="1"/>
  <c r="AK6" i="1"/>
  <c r="AJ41" i="1"/>
  <c r="AJ21" i="1"/>
  <c r="AI27" i="1"/>
  <c r="AJ5" i="1"/>
  <c r="AJ6" i="1"/>
  <c r="AI41" i="1"/>
  <c r="AI30" i="1"/>
  <c r="AI21" i="1"/>
  <c r="AH27" i="1"/>
  <c r="AI5" i="1"/>
  <c r="AI13" i="1"/>
  <c r="AG13" i="1"/>
  <c r="AI10" i="1"/>
  <c r="AG10" i="1"/>
  <c r="AH41" i="1"/>
  <c r="AH21" i="1"/>
  <c r="AG27" i="1"/>
  <c r="AH5" i="1"/>
  <c r="AG41" i="1"/>
  <c r="AG30" i="1"/>
  <c r="AF30" i="1"/>
  <c r="AG34" i="1"/>
  <c r="AG21" i="1"/>
  <c r="AG5" i="1"/>
  <c r="AK49" i="1" l="1"/>
  <c r="D31" i="2" s="1"/>
  <c r="AB41" i="1" l="1"/>
  <c r="AC41" i="1"/>
  <c r="AD41" i="1"/>
  <c r="Z41" i="1"/>
  <c r="Y41" i="1"/>
  <c r="AA41" i="1" l="1"/>
  <c r="AF41" i="1" l="1"/>
  <c r="B6" i="2"/>
  <c r="U41" i="1"/>
  <c r="T41" i="1"/>
  <c r="R41" i="1"/>
  <c r="Q41" i="1"/>
  <c r="P41" i="1"/>
  <c r="D22" i="2" l="1"/>
  <c r="D20" i="2"/>
  <c r="D15" i="2"/>
  <c r="D11" i="2"/>
  <c r="D3" i="2" l="1"/>
  <c r="J5" i="1" l="1"/>
  <c r="I5" i="1"/>
  <c r="G41" i="1"/>
  <c r="G30" i="1"/>
  <c r="G5" i="1"/>
  <c r="G10" i="1"/>
  <c r="AE10" i="1" l="1"/>
  <c r="C16" i="2" l="1"/>
  <c r="V41" i="1"/>
  <c r="V30" i="1"/>
  <c r="V34" i="1"/>
  <c r="V26" i="1"/>
  <c r="V21" i="1"/>
  <c r="V5" i="1"/>
  <c r="V13" i="1"/>
  <c r="V10" i="1"/>
  <c r="C22" i="2"/>
  <c r="B22" i="2"/>
  <c r="D6" i="2"/>
  <c r="C6" i="2"/>
  <c r="B4" i="2"/>
  <c r="B3" i="2"/>
  <c r="B5" i="2"/>
  <c r="B16" i="2"/>
  <c r="B11" i="2"/>
  <c r="B10" i="2"/>
  <c r="B13" i="2"/>
  <c r="B7" i="2"/>
  <c r="B8" i="2"/>
  <c r="B9" i="2"/>
  <c r="B32" i="2"/>
  <c r="B15" i="2"/>
  <c r="B28" i="2"/>
  <c r="B35" i="2"/>
  <c r="B27" i="2"/>
  <c r="B36" i="2"/>
  <c r="B12" i="2"/>
  <c r="B29" i="2"/>
  <c r="B19" i="2"/>
  <c r="B20" i="2"/>
  <c r="B23" i="2"/>
  <c r="B21" i="2"/>
  <c r="B24" i="2"/>
  <c r="B25" i="2"/>
  <c r="B17" i="2"/>
  <c r="B26" i="2"/>
  <c r="B30" i="2"/>
  <c r="B33" i="2"/>
  <c r="B18" i="2"/>
  <c r="O41" i="1"/>
  <c r="O30" i="1"/>
  <c r="U30" i="1"/>
  <c r="T30" i="1"/>
  <c r="R30" i="1"/>
  <c r="P30" i="1"/>
  <c r="O21" i="1"/>
  <c r="O27" i="1"/>
  <c r="P27" i="1"/>
  <c r="O5" i="1"/>
  <c r="O18" i="1"/>
  <c r="O13" i="1"/>
  <c r="O10" i="1"/>
  <c r="P21" i="1"/>
  <c r="Q27" i="1"/>
  <c r="P5" i="1"/>
  <c r="P18" i="1"/>
  <c r="P13" i="1"/>
  <c r="Q14" i="1"/>
  <c r="P10" i="1"/>
  <c r="T10" i="1"/>
  <c r="Q21" i="1"/>
  <c r="R27" i="1"/>
  <c r="Q5" i="1"/>
  <c r="Q19" i="1"/>
  <c r="Q10" i="1"/>
  <c r="AE41" i="1"/>
  <c r="R21" i="1"/>
  <c r="S27" i="1" l="1"/>
  <c r="R5" i="1"/>
  <c r="R14" i="1"/>
  <c r="T14" i="1"/>
  <c r="R10" i="1"/>
  <c r="S21" i="1"/>
  <c r="T26" i="1"/>
  <c r="S5" i="1"/>
  <c r="AB30" i="1"/>
  <c r="AB31" i="1"/>
  <c r="S14" i="1"/>
  <c r="AB21" i="1"/>
  <c r="AB26" i="1"/>
  <c r="AB5" i="1"/>
  <c r="AB17" i="1"/>
  <c r="AB12" i="1"/>
  <c r="AB10" i="1"/>
  <c r="S10" i="1"/>
  <c r="T21" i="1"/>
  <c r="U27" i="1"/>
  <c r="T5" i="1"/>
  <c r="T19" i="1"/>
  <c r="U14" i="1"/>
  <c r="U10" i="1"/>
  <c r="Y30" i="1"/>
  <c r="Y34" i="1"/>
  <c r="Y21" i="1"/>
  <c r="Y26" i="1"/>
  <c r="Y5" i="1"/>
  <c r="Y12" i="1"/>
  <c r="AD5" i="1"/>
  <c r="AE5" i="1"/>
  <c r="AD12" i="1"/>
  <c r="AE12" i="1"/>
  <c r="AC5" i="1"/>
  <c r="AC12" i="1"/>
  <c r="Y10" i="1"/>
  <c r="Z30" i="1"/>
  <c r="Z31" i="1"/>
  <c r="Z21" i="1"/>
  <c r="Z26" i="1"/>
  <c r="Z5" i="1"/>
  <c r="Z11" i="1"/>
  <c r="Z10" i="1"/>
  <c r="AC30" i="1"/>
  <c r="AC34" i="1"/>
  <c r="AC21" i="1"/>
  <c r="AC26" i="1"/>
  <c r="AA34" i="1"/>
  <c r="AA26" i="1"/>
  <c r="AC20" i="1"/>
  <c r="AA11" i="1"/>
  <c r="AA9" i="1"/>
  <c r="AD31" i="1"/>
  <c r="AC10" i="1"/>
  <c r="AD26" i="1"/>
  <c r="AD6" i="1"/>
  <c r="AE31" i="1"/>
  <c r="AE27" i="1"/>
  <c r="AA30" i="1"/>
  <c r="AA21" i="1"/>
  <c r="AA5" i="1"/>
  <c r="U21" i="1"/>
  <c r="U5" i="1"/>
  <c r="AD30" i="1"/>
  <c r="AD21" i="1"/>
  <c r="AE30" i="1" l="1"/>
  <c r="AE21" i="1"/>
  <c r="X41" i="1" l="1"/>
  <c r="X30" i="1"/>
  <c r="X31" i="1"/>
  <c r="W31" i="1"/>
  <c r="X21" i="1"/>
  <c r="X25" i="1"/>
  <c r="X5" i="1"/>
  <c r="X19" i="1"/>
  <c r="X13" i="1"/>
  <c r="X10" i="1"/>
  <c r="W41" i="1"/>
  <c r="W30" i="1"/>
  <c r="W21" i="1"/>
  <c r="W24" i="1"/>
  <c r="N27" i="1"/>
  <c r="W5" i="1"/>
  <c r="W19" i="1"/>
  <c r="W12" i="1"/>
  <c r="W10" i="1"/>
  <c r="N41" i="1"/>
  <c r="N5" i="1"/>
  <c r="N18" i="1"/>
  <c r="M41" i="1"/>
  <c r="K14" i="1"/>
  <c r="K5" i="1"/>
  <c r="J21" i="1"/>
  <c r="J34" i="1"/>
  <c r="I30" i="1"/>
  <c r="I21" i="1"/>
  <c r="G34" i="1"/>
  <c r="E41" i="1"/>
  <c r="E30" i="1"/>
  <c r="E21" i="1"/>
  <c r="E5" i="1"/>
  <c r="E14" i="1"/>
  <c r="AF5" i="1"/>
  <c r="AF21" i="1"/>
  <c r="AF49" i="1" l="1"/>
  <c r="AG49" i="1"/>
  <c r="E49" i="1"/>
  <c r="N30" i="1"/>
  <c r="N21" i="1"/>
  <c r="N14" i="1"/>
  <c r="N10" i="1"/>
  <c r="M30" i="1"/>
  <c r="M21" i="1"/>
  <c r="M26" i="1"/>
  <c r="M5" i="1"/>
  <c r="M18" i="1"/>
  <c r="M13" i="1"/>
  <c r="M10" i="1"/>
  <c r="AF34" i="1" l="1"/>
  <c r="AF27" i="1"/>
  <c r="AF18" i="1"/>
  <c r="AF11" i="1"/>
  <c r="AF8" i="1"/>
  <c r="AH49" i="1"/>
  <c r="L5" i="1"/>
  <c r="J41" i="1" l="1"/>
  <c r="J30" i="1"/>
  <c r="I31" i="1"/>
  <c r="J26" i="1"/>
  <c r="I26" i="1"/>
  <c r="J49" i="1" l="1"/>
  <c r="J13" i="1"/>
  <c r="J10" i="1"/>
  <c r="H41" i="1" l="1"/>
  <c r="H21" i="1"/>
  <c r="H26" i="1"/>
  <c r="H5" i="1"/>
  <c r="H14" i="1"/>
  <c r="H10" i="1"/>
  <c r="G21" i="1" l="1"/>
  <c r="F26" i="1"/>
  <c r="G14" i="1"/>
  <c r="F5" i="1"/>
  <c r="F10" i="1"/>
  <c r="E10" i="1"/>
  <c r="E31" i="1" l="1"/>
  <c r="F31" i="1"/>
  <c r="E26" i="1"/>
  <c r="E18" i="1"/>
  <c r="F41" i="1"/>
  <c r="F30" i="1"/>
  <c r="F21" i="1"/>
  <c r="F18" i="1"/>
  <c r="F14" i="1"/>
  <c r="I41" i="1" l="1"/>
  <c r="K41" i="1"/>
  <c r="K30" i="1"/>
  <c r="K31" i="1"/>
  <c r="K21" i="1"/>
  <c r="K26" i="1"/>
  <c r="K8" i="1"/>
  <c r="L30" i="1"/>
  <c r="L21" i="1"/>
  <c r="L41" i="1"/>
  <c r="L33" i="1"/>
  <c r="L26" i="1"/>
  <c r="L13" i="1"/>
  <c r="L19" i="1"/>
  <c r="L10" i="1"/>
  <c r="I49" i="1" l="1"/>
  <c r="I13" i="1" l="1"/>
  <c r="I10" i="1"/>
  <c r="F49" i="1" l="1"/>
  <c r="Z49" i="1" l="1"/>
  <c r="Q49" i="1"/>
  <c r="V49" i="1" l="1"/>
  <c r="C34" i="2" l="1"/>
  <c r="C27" i="2"/>
  <c r="C36" i="2"/>
  <c r="C28" i="2"/>
  <c r="C35" i="2"/>
  <c r="C21" i="2"/>
  <c r="C23" i="2"/>
  <c r="C14" i="2"/>
  <c r="C33" i="2"/>
  <c r="C26" i="2"/>
  <c r="C17" i="2"/>
  <c r="D12" i="2"/>
  <c r="C12" i="2"/>
  <c r="C30" i="2"/>
  <c r="C4" i="2"/>
  <c r="C3" i="2"/>
  <c r="D18" i="2"/>
  <c r="C18" i="2"/>
  <c r="C9" i="2"/>
  <c r="C8" i="2"/>
  <c r="C32" i="2"/>
  <c r="C7" i="2"/>
  <c r="D29" i="2"/>
  <c r="C29" i="2"/>
  <c r="C11" i="2"/>
  <c r="C5" i="2"/>
  <c r="C13" i="2"/>
  <c r="C15" i="2"/>
  <c r="C10" i="2"/>
  <c r="C24" i="2"/>
  <c r="C25" i="2"/>
  <c r="C20" i="2"/>
  <c r="C19" i="2"/>
  <c r="D21" i="2" l="1"/>
  <c r="D35" i="2"/>
  <c r="D28" i="2"/>
  <c r="AI49" i="1"/>
  <c r="D36" i="2" s="1"/>
  <c r="AJ49" i="1"/>
  <c r="D27" i="2" s="1"/>
  <c r="AL49" i="1"/>
  <c r="D34" i="2" s="1"/>
  <c r="U49" i="1" l="1"/>
  <c r="D9" i="2" s="1"/>
  <c r="P49" i="1"/>
  <c r="D16" i="2" s="1"/>
  <c r="T49" i="1" l="1"/>
  <c r="D8" i="2" s="1"/>
  <c r="R49" i="1"/>
  <c r="D7" i="2" s="1"/>
  <c r="S49" i="1"/>
  <c r="D32" i="2" s="1"/>
  <c r="M49" i="1" l="1"/>
  <c r="AD49" i="1"/>
  <c r="D14" i="2" s="1"/>
  <c r="AE49" i="1"/>
  <c r="D23" i="2" s="1"/>
  <c r="O49" i="1"/>
  <c r="L49" i="1"/>
  <c r="D13" i="2" s="1"/>
  <c r="N49" i="1"/>
  <c r="D5" i="2" s="1"/>
  <c r="AC49" i="1"/>
  <c r="D33" i="2" s="1"/>
  <c r="AB49" i="1"/>
  <c r="D26" i="2" s="1"/>
  <c r="AA49" i="1" l="1"/>
  <c r="D17" i="2" s="1"/>
  <c r="K49" i="1"/>
  <c r="Y49" i="1" l="1"/>
  <c r="D30" i="2" s="1"/>
  <c r="G49" i="1" l="1"/>
  <c r="D25" i="2" s="1"/>
  <c r="W49" i="1" l="1"/>
  <c r="X49" i="1" l="1"/>
  <c r="D4" i="2" s="1"/>
  <c r="D19" i="2" l="1"/>
  <c r="D10" i="2" l="1"/>
  <c r="H49" i="1"/>
  <c r="D24" i="2" s="1"/>
</calcChain>
</file>

<file path=xl/sharedStrings.xml><?xml version="1.0" encoding="utf-8"?>
<sst xmlns="http://schemas.openxmlformats.org/spreadsheetml/2006/main" count="384" uniqueCount="112">
  <si>
    <t>№ п/п</t>
  </si>
  <si>
    <t>Значения критериев оценки</t>
  </si>
  <si>
    <t>Количество баллов</t>
  </si>
  <si>
    <t>Оценка эффективности финансирования проекта, в том числе:</t>
  </si>
  <si>
    <t>1.1.</t>
  </si>
  <si>
    <t>40% и менее</t>
  </si>
  <si>
    <t>от 40% до 50%</t>
  </si>
  <si>
    <t>от 50% до 60%</t>
  </si>
  <si>
    <t>от 60% до 70%</t>
  </si>
  <si>
    <t>70% и более</t>
  </si>
  <si>
    <t>1.2.</t>
  </si>
  <si>
    <t>от 5%</t>
  </si>
  <si>
    <t>от 3% до 5%</t>
  </si>
  <si>
    <t>от 1% до 3%</t>
  </si>
  <si>
    <t>1% и менее</t>
  </si>
  <si>
    <t>1.3.</t>
  </si>
  <si>
    <t>от 7%</t>
  </si>
  <si>
    <t>от 5% до 7%</t>
  </si>
  <si>
    <t>менее 1%</t>
  </si>
  <si>
    <t>отсутствие финансирования</t>
  </si>
  <si>
    <t xml:space="preserve">Степень участия населения в определении проблемы, на решение которой направлен проект, в том числе: </t>
  </si>
  <si>
    <t>2.1.</t>
  </si>
  <si>
    <t>более 10%</t>
  </si>
  <si>
    <t>от 7% до 10%</t>
  </si>
  <si>
    <t>до 1%</t>
  </si>
  <si>
    <t>2.2.</t>
  </si>
  <si>
    <t>Наличие видеозаписи собрания граждан</t>
  </si>
  <si>
    <t xml:space="preserve">наличие </t>
  </si>
  <si>
    <t>отсутствие</t>
  </si>
  <si>
    <t>Социальная эффективность от реализации проекта, в том числе:</t>
  </si>
  <si>
    <t>3.1.</t>
  </si>
  <si>
    <t>от 15%</t>
  </si>
  <si>
    <t>от 10% до 15%</t>
  </si>
  <si>
    <t>от 5% до 10%</t>
  </si>
  <si>
    <t>5% и менее</t>
  </si>
  <si>
    <t>3.2.</t>
  </si>
  <si>
    <t>наличие</t>
  </si>
  <si>
    <t>3.3.</t>
  </si>
  <si>
    <t xml:space="preserve">Проект направлен на благоустройство дворовых территорий </t>
  </si>
  <si>
    <t>да</t>
  </si>
  <si>
    <t>нет</t>
  </si>
  <si>
    <t>3.4.</t>
  </si>
  <si>
    <t>Наличие мероприятий по уменьшению негативного воздействия на состояние окружающей среды</t>
  </si>
  <si>
    <t>Информирование населения о проекте, в том числе:</t>
  </si>
  <si>
    <t>4.1.</t>
  </si>
  <si>
    <t>наличие предварительного обсуждения</t>
  </si>
  <si>
    <t>отсутствие предварительного обсуждения</t>
  </si>
  <si>
    <t>4.2.</t>
  </si>
  <si>
    <t>использование СМИ для информирования населения о проекте</t>
  </si>
  <si>
    <t>отсутствие использования СМИ для информирования населения о проекте</t>
  </si>
  <si>
    <t>наличие информации в СМИ с указанием выбранного проекта, количества участников собрания граждан, вклада населения</t>
  </si>
  <si>
    <t>наличие информации в СМИ с указанием выбранного проекта, без указания количества участников собрания граждан и (или) вклада населения</t>
  </si>
  <si>
    <t>отсутствие информации в СМИ о результатах собрания граждан</t>
  </si>
  <si>
    <t xml:space="preserve">Итого: </t>
  </si>
  <si>
    <t>Максимальное количество баллов: 150</t>
  </si>
  <si>
    <t>Наименования критериев оценки проектов, представленных для участия (далее соответственно –  критерии оценки, проекты)</t>
  </si>
  <si>
    <t>Степень участия населения в определении проблемы и подготовке проекта согласно протоколу собрания граждан (процентов от общего числа жителей населенных пунктов Нефтеюганского района)**</t>
  </si>
  <si>
    <t>Удельный вес населения, получающего выгоду от реализации  проекта (прямых благополучателей) (процентов от общего числа жителей населенных пунктов Нефтеюганского района)*</t>
  </si>
  <si>
    <t>Участие населения и юридических лиц (неоплачиваемый труд, материалы и др. формы) в реализации проекта</t>
  </si>
  <si>
    <t>Наименование проекта</t>
  </si>
  <si>
    <t>Баллы</t>
  </si>
  <si>
    <t>Рейтинг проектов "Народный бюджет" в 2019 году</t>
  </si>
  <si>
    <t>с.п. Куть-Ях</t>
  </si>
  <si>
    <t>"Безопасный спорт"</t>
  </si>
  <si>
    <t>"Комфортная среда досуга"</t>
  </si>
  <si>
    <t>"Радужные дома"</t>
  </si>
  <si>
    <t>"Цветной двор"</t>
  </si>
  <si>
    <t>с.п. Сентябрьский</t>
  </si>
  <si>
    <t>"Уютный двор - красивая Россия"</t>
  </si>
  <si>
    <t>с.п. Усть-Юган</t>
  </si>
  <si>
    <t>"Благоустройство кладбища"</t>
  </si>
  <si>
    <t>с.п. Каркатеевы</t>
  </si>
  <si>
    <t>"Дворик на Садовой"</t>
  </si>
  <si>
    <t>"Яркий дом, яркий двор, яркий регион"</t>
  </si>
  <si>
    <t>с.п. Сингапай</t>
  </si>
  <si>
    <t>Организация и обустройство автомобильной стоянки прилегающей к территории дома №36/37 микрорайона 7</t>
  </si>
  <si>
    <t>Обустройство площадки "Сенсорный сад-пяти чувств"</t>
  </si>
  <si>
    <t>"Устройство скейт-парка"</t>
  </si>
  <si>
    <t>с.п. Лемпино</t>
  </si>
  <si>
    <t>"Детская игровая площадка на Солнечной"</t>
  </si>
  <si>
    <t>с.п. Салым</t>
  </si>
  <si>
    <t xml:space="preserve">"Устройство ливневого водоотвода автомобильной дороги по ул. Северная" </t>
  </si>
  <si>
    <t>"Ограждение ТСН "Боровое" по ул. проезд Магистральный"</t>
  </si>
  <si>
    <t>"Газификация улицы Новоселов"</t>
  </si>
  <si>
    <t>"Устройство тротуара по ул. 55 лет Победы до озера Сырковый Сор"</t>
  </si>
  <si>
    <t>"Установка забора по Центральной улице 55 лет Победы в едином стиле"</t>
  </si>
  <si>
    <t>"Устройство "сухого" фонтана на территории Солнечного сквера"</t>
  </si>
  <si>
    <t>"Устройство пешеходного тротуара по ул. Кедровая до Салымской СОШ №1"</t>
  </si>
  <si>
    <t xml:space="preserve">Арт-локация  "Я люблю Лемпино"
</t>
  </si>
  <si>
    <t>с. Чеускино</t>
  </si>
  <si>
    <t>Организация и обустройство автомобильной стоянки прилегающей к территории дома №8 микрорайона 4</t>
  </si>
  <si>
    <t>Организация и обустройство автомобильной стоянки прилегающей к территории дома №58,58/1 микрорайона 3</t>
  </si>
  <si>
    <t>Организация и обустройство автомобильной стоянки прилегающей к территории дома №7 микрорайона 4</t>
  </si>
  <si>
    <t>Организация и обустройство автомобильной стоянки прилегающей к территории дома №111 микрорайона 3</t>
  </si>
  <si>
    <t>Организация и обустройство автомобильной стоянки прилегающей к территории дома №13 микрорайона 4</t>
  </si>
  <si>
    <r>
      <t xml:space="preserve">"Уютный сквер у дома"     </t>
    </r>
    <r>
      <rPr>
        <sz val="12"/>
        <rFont val="Times New Roman"/>
        <family val="1"/>
        <charset val="204"/>
      </rPr>
      <t xml:space="preserve"> Обустройство придомовой территории д. 56 по ул. Круг В-1</t>
    </r>
  </si>
  <si>
    <r>
      <t xml:space="preserve">"В гостях хорошо, а дома лучше" </t>
    </r>
    <r>
      <rPr>
        <sz val="12"/>
        <rFont val="Times New Roman"/>
        <family val="1"/>
        <charset val="204"/>
      </rPr>
      <t xml:space="preserve">Благоустройство придомовой территории д. № 47 по ул. Круг В-1 </t>
    </r>
  </si>
  <si>
    <r>
      <t xml:space="preserve">"Цветущий поселок" </t>
    </r>
    <r>
      <rPr>
        <sz val="12"/>
        <rFont val="Times New Roman"/>
        <family val="1"/>
        <charset val="204"/>
      </rPr>
      <t xml:space="preserve">Благоустройство поселка Сингапай </t>
    </r>
  </si>
  <si>
    <r>
      <t xml:space="preserve">"Наш дом"   </t>
    </r>
    <r>
      <rPr>
        <sz val="12"/>
        <rFont val="Times New Roman"/>
        <family val="1"/>
        <charset val="204"/>
      </rPr>
      <t xml:space="preserve">Ограждение домов по ул. Круг Б-3 д. 37,38,39 </t>
    </r>
  </si>
  <si>
    <r>
      <t xml:space="preserve">"Мое счастливое детство"    </t>
    </r>
    <r>
      <rPr>
        <sz val="12"/>
        <rFont val="Times New Roman"/>
        <family val="1"/>
        <charset val="204"/>
      </rPr>
      <t>Обустройство детской площадки д. 55</t>
    </r>
  </si>
  <si>
    <r>
      <t xml:space="preserve">"Мой дом – моя крепость"    </t>
    </r>
    <r>
      <rPr>
        <sz val="12"/>
        <rFont val="Times New Roman"/>
        <family val="1"/>
        <charset val="204"/>
      </rPr>
      <t xml:space="preserve">Ограждение домов № 44,45,46 по ул. Круг В-1 </t>
    </r>
  </si>
  <si>
    <r>
      <t xml:space="preserve">«Заборчик»  </t>
    </r>
    <r>
      <rPr>
        <sz val="12"/>
        <rFont val="Times New Roman"/>
        <family val="1"/>
        <charset val="204"/>
      </rPr>
      <t xml:space="preserve">Ограждение домов по ул. Круг Б-3 д. 36, 40, 43 </t>
    </r>
  </si>
  <si>
    <r>
      <t xml:space="preserve">"Обустройство придомовой территории" </t>
    </r>
    <r>
      <rPr>
        <sz val="12"/>
        <rFont val="Times New Roman"/>
        <family val="1"/>
        <charset val="204"/>
      </rPr>
      <t>д.17а по ул. Центральная с. Чеускино"</t>
    </r>
  </si>
  <si>
    <r>
      <t>Уровень финансирования проекта за счет</t>
    </r>
    <r>
      <rPr>
        <b/>
        <sz val="12"/>
        <rFont val="Times New Roman"/>
        <family val="1"/>
        <charset val="204"/>
      </rPr>
      <t xml:space="preserve"> бюджета Нефтеюганского </t>
    </r>
    <r>
      <rPr>
        <sz val="12"/>
        <rFont val="Times New Roman"/>
        <family val="1"/>
        <charset val="204"/>
      </rPr>
      <t>района (процентов от предполагаемой суммы проекта)</t>
    </r>
  </si>
  <si>
    <r>
      <t>Уровень финансирования проекта за счет средств</t>
    </r>
    <r>
      <rPr>
        <b/>
        <sz val="12"/>
        <rFont val="Times New Roman"/>
        <family val="1"/>
        <charset val="204"/>
      </rPr>
      <t xml:space="preserve"> населения</t>
    </r>
    <r>
      <rPr>
        <sz val="12"/>
        <rFont val="Times New Roman"/>
        <family val="1"/>
        <charset val="204"/>
      </rPr>
      <t xml:space="preserve"> в денежной форме (процентов от предполагаемой суммы проекта)</t>
    </r>
  </si>
  <si>
    <r>
      <t xml:space="preserve">Уровень финансирования проекта за счет поступлений от </t>
    </r>
    <r>
      <rPr>
        <b/>
        <sz val="12"/>
        <rFont val="Times New Roman"/>
        <family val="1"/>
        <charset val="204"/>
      </rPr>
      <t>юридических лиц в</t>
    </r>
    <r>
      <rPr>
        <sz val="12"/>
        <rFont val="Times New Roman"/>
        <family val="1"/>
        <charset val="204"/>
      </rPr>
      <t xml:space="preserve"> денежной форме (процентов от предполагаемой суммы проекта) </t>
    </r>
  </si>
  <si>
    <r>
      <t xml:space="preserve">Проведение мероприятий, посвященных </t>
    </r>
    <r>
      <rPr>
        <b/>
        <sz val="12"/>
        <rFont val="Times New Roman"/>
        <family val="1"/>
        <charset val="204"/>
      </rPr>
      <t xml:space="preserve">предварительному обсуждению проекта </t>
    </r>
    <r>
      <rPr>
        <sz val="12"/>
        <rFont val="Times New Roman"/>
        <family val="1"/>
        <charset val="204"/>
      </rPr>
      <t>(опросные листы, анкеты, предварительные собрания, подомовой обход и т.д.)</t>
    </r>
  </si>
  <si>
    <r>
      <t xml:space="preserve">Использование средств массовой информации (далее – СМИ) для информирования населения о проекте </t>
    </r>
    <r>
      <rPr>
        <b/>
        <sz val="12"/>
        <rFont val="Times New Roman"/>
        <family val="1"/>
        <charset val="204"/>
      </rPr>
      <t>до собрания граждан</t>
    </r>
  </si>
  <si>
    <r>
      <rPr>
        <b/>
        <sz val="12"/>
        <rFont val="Times New Roman"/>
        <family val="1"/>
        <charset val="204"/>
      </rPr>
      <t xml:space="preserve">Освещение итогов собрания </t>
    </r>
    <r>
      <rPr>
        <sz val="12"/>
        <rFont val="Times New Roman"/>
        <family val="1"/>
        <charset val="204"/>
      </rPr>
      <t>граждан в СМИ</t>
    </r>
  </si>
  <si>
    <t>Организация и обустройство автомобильной стоянки прилегающей к территории дома №1 микрорайона 6</t>
  </si>
  <si>
    <t>г.п. Пойковский</t>
  </si>
  <si>
    <t>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</si>
</sst>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4" fontId="7" fillId="10" borderId="15" xfId="0" applyNumberFormat="1" applyFont="1" applyFill="1" applyBorder="1" applyAlignment="1">
      <alignment horizontal="center"/>
    </xf>
    <xf numFmtId="4" fontId="7" fillId="8" borderId="15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/>
    </xf>
    <xf numFmtId="4" fontId="7" fillId="4" borderId="15" xfId="0" applyNumberFormat="1" applyFont="1" applyFill="1" applyBorder="1" applyAlignment="1">
      <alignment horizontal="center"/>
    </xf>
    <xf numFmtId="4" fontId="7" fillId="9" borderId="15" xfId="0" applyNumberFormat="1" applyFont="1" applyFill="1" applyBorder="1" applyAlignment="1">
      <alignment horizontal="center"/>
    </xf>
    <xf numFmtId="4" fontId="7" fillId="5" borderId="15" xfId="0" applyNumberFormat="1" applyFont="1" applyFill="1" applyBorder="1" applyAlignment="1">
      <alignment horizontal="center"/>
    </xf>
    <xf numFmtId="4" fontId="7" fillId="11" borderId="15" xfId="0" applyNumberFormat="1" applyFont="1" applyFill="1" applyBorder="1" applyAlignment="1">
      <alignment horizontal="center"/>
    </xf>
    <xf numFmtId="4" fontId="7" fillId="10" borderId="3" xfId="0" applyNumberFormat="1" applyFont="1" applyFill="1" applyBorder="1" applyAlignment="1">
      <alignment horizontal="center"/>
    </xf>
    <xf numFmtId="4" fontId="7" fillId="8" borderId="3" xfId="0" applyNumberFormat="1" applyFont="1" applyFill="1" applyBorder="1" applyAlignment="1">
      <alignment horizontal="center"/>
    </xf>
    <xf numFmtId="4" fontId="7" fillId="10" borderId="25" xfId="0" applyNumberFormat="1" applyFont="1" applyFill="1" applyBorder="1" applyAlignment="1">
      <alignment horizontal="center"/>
    </xf>
    <xf numFmtId="4" fontId="7" fillId="10" borderId="27" xfId="0" applyNumberFormat="1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4" fontId="7" fillId="6" borderId="2" xfId="0" applyNumberFormat="1" applyFont="1" applyFill="1" applyBorder="1" applyAlignment="1">
      <alignment horizontal="center"/>
    </xf>
    <xf numFmtId="4" fontId="7" fillId="7" borderId="2" xfId="0" applyNumberFormat="1" applyFont="1" applyFill="1" applyBorder="1" applyAlignment="1">
      <alignment horizontal="center"/>
    </xf>
    <xf numFmtId="4" fontId="7" fillId="9" borderId="2" xfId="0" applyNumberFormat="1" applyFont="1" applyFill="1" applyBorder="1" applyAlignment="1">
      <alignment horizontal="center"/>
    </xf>
    <xf numFmtId="4" fontId="7" fillId="10" borderId="2" xfId="0" applyNumberFormat="1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/>
    </xf>
    <xf numFmtId="4" fontId="7" fillId="11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center"/>
    </xf>
    <xf numFmtId="4" fontId="9" fillId="3" borderId="29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5" xfId="0" applyNumberFormat="1" applyFont="1" applyFill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" fontId="5" fillId="0" borderId="31" xfId="0" applyNumberFormat="1" applyFont="1" applyFill="1" applyBorder="1" applyAlignment="1">
      <alignment horizontal="center" vertical="center" wrapText="1"/>
    </xf>
    <xf numFmtId="4" fontId="7" fillId="12" borderId="3" xfId="0" applyNumberFormat="1" applyFont="1" applyFill="1" applyBorder="1" applyAlignment="1">
      <alignment horizontal="center"/>
    </xf>
    <xf numFmtId="4" fontId="7" fillId="3" borderId="3" xfId="0" applyNumberFormat="1" applyFont="1" applyFill="1" applyBorder="1" applyAlignment="1">
      <alignment horizontal="center"/>
    </xf>
    <xf numFmtId="4" fontId="7" fillId="5" borderId="3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" fontId="10" fillId="0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top" wrapText="1"/>
    </xf>
    <xf numFmtId="4" fontId="3" fillId="0" borderId="37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left" vertical="top" wrapText="1"/>
    </xf>
    <xf numFmtId="4" fontId="3" fillId="15" borderId="5" xfId="0" applyNumberFormat="1" applyFont="1" applyFill="1" applyBorder="1" applyAlignment="1">
      <alignment horizontal="center" vertical="center"/>
    </xf>
    <xf numFmtId="3" fontId="3" fillId="15" borderId="5" xfId="0" applyNumberFormat="1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left" vertical="center" wrapText="1"/>
    </xf>
    <xf numFmtId="0" fontId="10" fillId="15" borderId="5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left" vertical="top" wrapText="1"/>
    </xf>
    <xf numFmtId="4" fontId="3" fillId="9" borderId="5" xfId="0" applyNumberFormat="1" applyFont="1" applyFill="1" applyBorder="1" applyAlignment="1">
      <alignment horizontal="center" vertical="center"/>
    </xf>
    <xf numFmtId="3" fontId="3" fillId="9" borderId="5" xfId="0" applyNumberFormat="1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left" vertical="top" wrapText="1"/>
    </xf>
    <xf numFmtId="4" fontId="10" fillId="9" borderId="5" xfId="0" applyNumberFormat="1" applyFont="1" applyFill="1" applyBorder="1" applyAlignment="1">
      <alignment horizontal="center" vertical="center"/>
    </xf>
    <xf numFmtId="3" fontId="10" fillId="9" borderId="5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35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Border="1"/>
    <xf numFmtId="4" fontId="9" fillId="0" borderId="8" xfId="0" applyNumberFormat="1" applyFont="1" applyBorder="1" applyAlignment="1">
      <alignment horizontal="left"/>
    </xf>
    <xf numFmtId="4" fontId="10" fillId="0" borderId="8" xfId="0" applyNumberFormat="1" applyFont="1" applyBorder="1"/>
    <xf numFmtId="4" fontId="9" fillId="0" borderId="9" xfId="0" applyNumberFormat="1" applyFont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8" borderId="8" xfId="0" applyNumberFormat="1" applyFont="1" applyFill="1" applyBorder="1" applyAlignment="1">
      <alignment horizontal="center"/>
    </xf>
    <xf numFmtId="4" fontId="9" fillId="10" borderId="8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4" borderId="8" xfId="0" applyNumberFormat="1" applyFont="1" applyFill="1" applyBorder="1" applyAlignment="1">
      <alignment horizontal="center"/>
    </xf>
    <xf numFmtId="4" fontId="9" fillId="9" borderId="8" xfId="0" applyNumberFormat="1" applyFont="1" applyFill="1" applyBorder="1" applyAlignment="1">
      <alignment horizontal="center"/>
    </xf>
    <xf numFmtId="4" fontId="9" fillId="5" borderId="8" xfId="0" applyNumberFormat="1" applyFont="1" applyFill="1" applyBorder="1" applyAlignment="1">
      <alignment horizontal="center"/>
    </xf>
    <xf numFmtId="4" fontId="9" fillId="7" borderId="8" xfId="0" applyNumberFormat="1" applyFont="1" applyFill="1" applyBorder="1" applyAlignment="1">
      <alignment horizontal="center"/>
    </xf>
    <xf numFmtId="4" fontId="9" fillId="11" borderId="8" xfId="0" applyNumberFormat="1" applyFont="1" applyFill="1" applyBorder="1" applyAlignment="1">
      <alignment horizontal="center"/>
    </xf>
    <xf numFmtId="4" fontId="9" fillId="3" borderId="8" xfId="0" applyNumberFormat="1" applyFont="1" applyFill="1" applyBorder="1" applyAlignment="1">
      <alignment horizontal="center"/>
    </xf>
    <xf numFmtId="4" fontId="9" fillId="14" borderId="8" xfId="0" applyNumberFormat="1" applyFont="1" applyFill="1" applyBorder="1" applyAlignment="1">
      <alignment horizontal="center"/>
    </xf>
    <xf numFmtId="4" fontId="10" fillId="0" borderId="29" xfId="0" applyNumberFormat="1" applyFont="1" applyBorder="1"/>
    <xf numFmtId="4" fontId="10" fillId="0" borderId="0" xfId="0" applyNumberFormat="1" applyFont="1" applyBorder="1"/>
    <xf numFmtId="0" fontId="6" fillId="0" borderId="29" xfId="0" applyFont="1" applyFill="1" applyBorder="1"/>
    <xf numFmtId="0" fontId="6" fillId="0" borderId="0" xfId="0" applyFont="1" applyFill="1" applyBorder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9" xfId="0" applyFont="1" applyBorder="1"/>
    <xf numFmtId="0" fontId="9" fillId="0" borderId="0" xfId="0" applyFont="1" applyBorder="1"/>
    <xf numFmtId="0" fontId="8" fillId="0" borderId="16" xfId="0" applyFont="1" applyBorder="1" applyAlignment="1">
      <alignment horizontal="center" vertical="center" wrapText="1"/>
    </xf>
    <xf numFmtId="0" fontId="6" fillId="0" borderId="29" xfId="0" applyFont="1" applyBorder="1"/>
    <xf numFmtId="0" fontId="6" fillId="0" borderId="0" xfId="0" applyFont="1" applyBorder="1"/>
    <xf numFmtId="0" fontId="5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4" fontId="5" fillId="0" borderId="23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7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/>
    <xf numFmtId="2" fontId="5" fillId="0" borderId="24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0" fontId="6" fillId="0" borderId="31" xfId="0" applyFont="1" applyFill="1" applyBorder="1"/>
    <xf numFmtId="0" fontId="5" fillId="0" borderId="1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4" fontId="5" fillId="0" borderId="26" xfId="0" applyNumberFormat="1" applyFont="1" applyFill="1" applyBorder="1" applyAlignment="1">
      <alignment horizontal="center" vertical="center" wrapText="1"/>
    </xf>
    <xf numFmtId="4" fontId="5" fillId="0" borderId="33" xfId="0" applyNumberFormat="1" applyFont="1" applyFill="1" applyBorder="1" applyAlignment="1">
      <alignment horizontal="center" vertical="center" wrapText="1"/>
    </xf>
    <xf numFmtId="4" fontId="7" fillId="6" borderId="15" xfId="0" applyNumberFormat="1" applyFont="1" applyFill="1" applyBorder="1" applyAlignment="1">
      <alignment horizontal="center"/>
    </xf>
    <xf numFmtId="4" fontId="7" fillId="7" borderId="15" xfId="0" applyNumberFormat="1" applyFont="1" applyFill="1" applyBorder="1" applyAlignment="1">
      <alignment horizontal="center"/>
    </xf>
    <xf numFmtId="4" fontId="7" fillId="6" borderId="29" xfId="0" applyNumberFormat="1" applyFont="1" applyFill="1" applyBorder="1" applyAlignment="1">
      <alignment horizontal="center"/>
    </xf>
    <xf numFmtId="4" fontId="7" fillId="3" borderId="29" xfId="0" applyNumberFormat="1" applyFont="1" applyFill="1" applyBorder="1" applyAlignment="1">
      <alignment horizontal="center"/>
    </xf>
    <xf numFmtId="4" fontId="5" fillId="0" borderId="32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/>
    </xf>
    <xf numFmtId="4" fontId="7" fillId="3" borderId="15" xfId="0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/>
    </xf>
    <xf numFmtId="4" fontId="7" fillId="9" borderId="3" xfId="0" applyNumberFormat="1" applyFont="1" applyFill="1" applyBorder="1" applyAlignment="1">
      <alignment horizontal="center"/>
    </xf>
    <xf numFmtId="4" fontId="7" fillId="7" borderId="3" xfId="0" applyNumberFormat="1" applyFont="1" applyFill="1" applyBorder="1" applyAlignment="1">
      <alignment horizontal="center"/>
    </xf>
    <xf numFmtId="4" fontId="7" fillId="11" borderId="3" xfId="0" applyNumberFormat="1" applyFont="1" applyFill="1" applyBorder="1" applyAlignment="1">
      <alignment horizontal="center"/>
    </xf>
    <xf numFmtId="4" fontId="7" fillId="12" borderId="34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Fill="1"/>
    <xf numFmtId="0" fontId="6" fillId="0" borderId="0" xfId="0" applyFont="1" applyAlignment="1"/>
    <xf numFmtId="0" fontId="8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99"/>
      <color rgb="FF00FFCC"/>
      <color rgb="FF99FFCC"/>
      <color rgb="FFFFFFCC"/>
      <color rgb="FFFF5050"/>
      <color rgb="FF00FFFF"/>
      <color rgb="FFFF99FF"/>
      <color rgb="FF00CCFF"/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A51"/>
  <sheetViews>
    <sheetView tabSelected="1" view="pageBreakPreview" zoomScale="50" zoomScaleNormal="25" zoomScaleSheetLayoutView="50" workbookViewId="0">
      <selection activeCell="B2" sqref="B2:B3"/>
    </sheetView>
  </sheetViews>
  <sheetFormatPr defaultColWidth="8.88671875" defaultRowHeight="20.399999999999999" x14ac:dyDescent="0.35"/>
  <cols>
    <col min="1" max="1" width="4.33203125" style="151" customWidth="1"/>
    <col min="2" max="2" width="35.33203125" style="152" customWidth="1"/>
    <col min="3" max="3" width="20.6640625" style="151" customWidth="1"/>
    <col min="4" max="4" width="15.109375" style="153" customWidth="1"/>
    <col min="5" max="7" width="20.109375" style="154" customWidth="1"/>
    <col min="8" max="8" width="20.33203125" style="154" customWidth="1"/>
    <col min="9" max="9" width="23.33203125" style="154" customWidth="1"/>
    <col min="10" max="10" width="23.6640625" style="154" customWidth="1"/>
    <col min="11" max="11" width="22.5546875" style="154" customWidth="1"/>
    <col min="12" max="12" width="21.6640625" style="154" customWidth="1"/>
    <col min="13" max="13" width="22.6640625" style="154" customWidth="1"/>
    <col min="14" max="15" width="22.33203125" style="154" customWidth="1"/>
    <col min="16" max="25" width="24.109375" style="151" customWidth="1"/>
    <col min="26" max="26" width="26.6640625" style="151" customWidth="1"/>
    <col min="27" max="33" width="24.109375" style="151" customWidth="1"/>
    <col min="34" max="34" width="26" style="151" customWidth="1"/>
    <col min="35" max="38" width="24.109375" style="151" customWidth="1"/>
    <col min="39" max="63" width="8.88671875" style="100"/>
    <col min="64" max="157" width="8.88671875" style="4"/>
    <col min="158" max="16384" width="8.88671875" style="1"/>
  </cols>
  <sheetData>
    <row r="1" spans="1:63" s="3" customFormat="1" ht="18" x14ac:dyDescent="0.35">
      <c r="A1" s="72"/>
      <c r="B1" s="73"/>
      <c r="C1" s="74"/>
      <c r="D1" s="75"/>
      <c r="E1" s="76" t="s">
        <v>62</v>
      </c>
      <c r="F1" s="77" t="s">
        <v>62</v>
      </c>
      <c r="G1" s="78" t="s">
        <v>62</v>
      </c>
      <c r="H1" s="79" t="s">
        <v>62</v>
      </c>
      <c r="I1" s="80" t="s">
        <v>67</v>
      </c>
      <c r="J1" s="78" t="s">
        <v>67</v>
      </c>
      <c r="K1" s="81" t="s">
        <v>69</v>
      </c>
      <c r="L1" s="82" t="s">
        <v>71</v>
      </c>
      <c r="M1" s="79" t="s">
        <v>74</v>
      </c>
      <c r="N1" s="78" t="s">
        <v>74</v>
      </c>
      <c r="O1" s="83" t="s">
        <v>74</v>
      </c>
      <c r="P1" s="81" t="s">
        <v>74</v>
      </c>
      <c r="Q1" s="78" t="s">
        <v>74</v>
      </c>
      <c r="R1" s="82" t="s">
        <v>74</v>
      </c>
      <c r="S1" s="84" t="s">
        <v>74</v>
      </c>
      <c r="T1" s="82" t="s">
        <v>74</v>
      </c>
      <c r="U1" s="79" t="s">
        <v>74</v>
      </c>
      <c r="V1" s="85" t="s">
        <v>89</v>
      </c>
      <c r="W1" s="78" t="s">
        <v>78</v>
      </c>
      <c r="X1" s="79" t="s">
        <v>78</v>
      </c>
      <c r="Y1" s="82" t="s">
        <v>80</v>
      </c>
      <c r="Z1" s="86" t="s">
        <v>80</v>
      </c>
      <c r="AA1" s="78" t="s">
        <v>80</v>
      </c>
      <c r="AB1" s="85" t="s">
        <v>80</v>
      </c>
      <c r="AC1" s="79" t="s">
        <v>80</v>
      </c>
      <c r="AD1" s="82" t="s">
        <v>80</v>
      </c>
      <c r="AE1" s="85" t="s">
        <v>80</v>
      </c>
      <c r="AF1" s="79" t="s">
        <v>110</v>
      </c>
      <c r="AG1" s="30" t="s">
        <v>110</v>
      </c>
      <c r="AH1" s="82" t="s">
        <v>110</v>
      </c>
      <c r="AI1" s="79" t="s">
        <v>110</v>
      </c>
      <c r="AJ1" s="82" t="s">
        <v>110</v>
      </c>
      <c r="AK1" s="78" t="s">
        <v>110</v>
      </c>
      <c r="AL1" s="30" t="s">
        <v>110</v>
      </c>
      <c r="AM1" s="87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</row>
    <row r="2" spans="1:63" s="68" customFormat="1" ht="70.2" customHeight="1" x14ac:dyDescent="0.25">
      <c r="A2" s="163" t="s">
        <v>0</v>
      </c>
      <c r="B2" s="159" t="s">
        <v>55</v>
      </c>
      <c r="C2" s="159" t="s">
        <v>1</v>
      </c>
      <c r="D2" s="165" t="s">
        <v>2</v>
      </c>
      <c r="E2" s="175" t="s">
        <v>63</v>
      </c>
      <c r="F2" s="158" t="s">
        <v>64</v>
      </c>
      <c r="G2" s="158" t="s">
        <v>65</v>
      </c>
      <c r="H2" s="158" t="s">
        <v>66</v>
      </c>
      <c r="I2" s="158" t="s">
        <v>68</v>
      </c>
      <c r="J2" s="160" t="s">
        <v>73</v>
      </c>
      <c r="K2" s="158" t="s">
        <v>70</v>
      </c>
      <c r="L2" s="158" t="s">
        <v>72</v>
      </c>
      <c r="M2" s="160" t="s">
        <v>76</v>
      </c>
      <c r="N2" s="160" t="s">
        <v>77</v>
      </c>
      <c r="O2" s="158" t="s">
        <v>95</v>
      </c>
      <c r="P2" s="158" t="s">
        <v>96</v>
      </c>
      <c r="Q2" s="158" t="s">
        <v>97</v>
      </c>
      <c r="R2" s="158" t="s">
        <v>98</v>
      </c>
      <c r="S2" s="158" t="s">
        <v>99</v>
      </c>
      <c r="T2" s="158" t="s">
        <v>100</v>
      </c>
      <c r="U2" s="158" t="s">
        <v>101</v>
      </c>
      <c r="V2" s="158" t="s">
        <v>102</v>
      </c>
      <c r="W2" s="158" t="s">
        <v>88</v>
      </c>
      <c r="X2" s="158" t="s">
        <v>79</v>
      </c>
      <c r="Y2" s="158" t="s">
        <v>82</v>
      </c>
      <c r="Z2" s="158" t="s">
        <v>81</v>
      </c>
      <c r="AA2" s="158" t="s">
        <v>83</v>
      </c>
      <c r="AB2" s="158" t="s">
        <v>84</v>
      </c>
      <c r="AC2" s="158" t="s">
        <v>85</v>
      </c>
      <c r="AD2" s="158" t="s">
        <v>86</v>
      </c>
      <c r="AE2" s="158" t="s">
        <v>87</v>
      </c>
      <c r="AF2" s="158" t="s">
        <v>75</v>
      </c>
      <c r="AG2" s="160" t="s">
        <v>90</v>
      </c>
      <c r="AH2" s="160" t="s">
        <v>91</v>
      </c>
      <c r="AI2" s="160" t="s">
        <v>92</v>
      </c>
      <c r="AJ2" s="160" t="s">
        <v>109</v>
      </c>
      <c r="AK2" s="160" t="s">
        <v>93</v>
      </c>
      <c r="AL2" s="179" t="s">
        <v>94</v>
      </c>
      <c r="AM2" s="89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</row>
    <row r="3" spans="1:63" s="68" customFormat="1" ht="49.8" customHeight="1" x14ac:dyDescent="0.25">
      <c r="A3" s="163"/>
      <c r="B3" s="159"/>
      <c r="C3" s="159"/>
      <c r="D3" s="165"/>
      <c r="E3" s="175"/>
      <c r="F3" s="158"/>
      <c r="G3" s="158"/>
      <c r="H3" s="158"/>
      <c r="I3" s="159"/>
      <c r="J3" s="161"/>
      <c r="K3" s="159"/>
      <c r="L3" s="158"/>
      <c r="M3" s="161"/>
      <c r="N3" s="161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61"/>
      <c r="AH3" s="161"/>
      <c r="AI3" s="161"/>
      <c r="AJ3" s="161"/>
      <c r="AK3" s="161"/>
      <c r="AL3" s="180"/>
      <c r="AM3" s="89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</row>
    <row r="4" spans="1:63" s="5" customFormat="1" ht="18" thickBot="1" x14ac:dyDescent="0.35">
      <c r="A4" s="91"/>
      <c r="B4" s="92"/>
      <c r="C4" s="93"/>
      <c r="D4" s="94"/>
      <c r="E4" s="95">
        <v>1</v>
      </c>
      <c r="F4" s="93">
        <v>2</v>
      </c>
      <c r="G4" s="93">
        <v>3</v>
      </c>
      <c r="H4" s="93">
        <v>4</v>
      </c>
      <c r="I4" s="93">
        <v>5</v>
      </c>
      <c r="J4" s="93">
        <v>6</v>
      </c>
      <c r="K4" s="93">
        <v>7</v>
      </c>
      <c r="L4" s="93">
        <v>8</v>
      </c>
      <c r="M4" s="93">
        <v>9</v>
      </c>
      <c r="N4" s="93">
        <v>10</v>
      </c>
      <c r="O4" s="93">
        <v>11</v>
      </c>
      <c r="P4" s="93">
        <v>12</v>
      </c>
      <c r="Q4" s="93">
        <v>13</v>
      </c>
      <c r="R4" s="93">
        <v>14</v>
      </c>
      <c r="S4" s="93">
        <v>15</v>
      </c>
      <c r="T4" s="93">
        <v>16</v>
      </c>
      <c r="U4" s="93">
        <v>17</v>
      </c>
      <c r="V4" s="93">
        <v>18</v>
      </c>
      <c r="W4" s="93">
        <v>19</v>
      </c>
      <c r="X4" s="93">
        <v>20</v>
      </c>
      <c r="Y4" s="93">
        <v>21</v>
      </c>
      <c r="Z4" s="93">
        <v>22</v>
      </c>
      <c r="AA4" s="93">
        <v>23</v>
      </c>
      <c r="AB4" s="93">
        <v>24</v>
      </c>
      <c r="AC4" s="93">
        <v>25</v>
      </c>
      <c r="AD4" s="93">
        <v>26</v>
      </c>
      <c r="AE4" s="93">
        <v>27</v>
      </c>
      <c r="AF4" s="93">
        <v>28</v>
      </c>
      <c r="AG4" s="93">
        <v>29</v>
      </c>
      <c r="AH4" s="93">
        <v>30</v>
      </c>
      <c r="AI4" s="93">
        <v>31</v>
      </c>
      <c r="AJ4" s="93">
        <v>32</v>
      </c>
      <c r="AK4" s="93">
        <v>33</v>
      </c>
      <c r="AL4" s="93">
        <v>34</v>
      </c>
      <c r="AM4" s="96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</row>
    <row r="5" spans="1:63" s="4" customFormat="1" ht="21" thickBot="1" x14ac:dyDescent="0.4">
      <c r="A5" s="98">
        <v>1</v>
      </c>
      <c r="B5" s="166" t="s">
        <v>3</v>
      </c>
      <c r="C5" s="166"/>
      <c r="D5" s="167"/>
      <c r="E5" s="15">
        <f>D10+D14+D18</f>
        <v>12</v>
      </c>
      <c r="F5" s="7">
        <f>D10+D14+D18</f>
        <v>12</v>
      </c>
      <c r="G5" s="6">
        <f>D10+D14+D20</f>
        <v>6</v>
      </c>
      <c r="H5" s="8">
        <f>D10+D14+D20</f>
        <v>6</v>
      </c>
      <c r="I5" s="9">
        <f>D10+D13+D20</f>
        <v>9</v>
      </c>
      <c r="J5" s="9">
        <f>D10+D13+D20</f>
        <v>9</v>
      </c>
      <c r="K5" s="10">
        <f>D8+D14+D20</f>
        <v>9</v>
      </c>
      <c r="L5" s="11">
        <f>D10+D13+D19</f>
        <v>13</v>
      </c>
      <c r="M5" s="31">
        <f>D10+D13+D18</f>
        <v>15</v>
      </c>
      <c r="N5" s="22">
        <f>D10+D14+D18</f>
        <v>12</v>
      </c>
      <c r="O5" s="23">
        <f>D10+D13+D18</f>
        <v>15</v>
      </c>
      <c r="P5" s="24">
        <f>D10+D13+D18</f>
        <v>15</v>
      </c>
      <c r="Q5" s="25">
        <f>D10+D14+D19</f>
        <v>10</v>
      </c>
      <c r="R5" s="26">
        <f>D10+D14+D20</f>
        <v>6</v>
      </c>
      <c r="S5" s="27">
        <f>D10+D14+D20</f>
        <v>6</v>
      </c>
      <c r="T5" s="26">
        <f>D10+D14+D19</f>
        <v>10</v>
      </c>
      <c r="U5" s="28">
        <f>D10+D14+D20</f>
        <v>6</v>
      </c>
      <c r="V5" s="29">
        <f>D10+D13+D20</f>
        <v>9</v>
      </c>
      <c r="W5" s="25">
        <f>D10+D12+D19</f>
        <v>18</v>
      </c>
      <c r="X5" s="28">
        <f>D10+D13+D19</f>
        <v>13</v>
      </c>
      <c r="Y5" s="26">
        <f>D10+D12+D20</f>
        <v>14</v>
      </c>
      <c r="Z5" s="24">
        <f>D10+D11+D20</f>
        <v>19</v>
      </c>
      <c r="AA5" s="25">
        <f>D9+D11+D20</f>
        <v>21</v>
      </c>
      <c r="AB5" s="29">
        <f>D10+D12+D17</f>
        <v>24</v>
      </c>
      <c r="AC5" s="28">
        <f>D10+D12+D20</f>
        <v>14</v>
      </c>
      <c r="AD5" s="26">
        <f>D6+D12+D20</f>
        <v>20</v>
      </c>
      <c r="AE5" s="28">
        <f>D10+D12+D20</f>
        <v>14</v>
      </c>
      <c r="AF5" s="28">
        <f>D8+D11+D18</f>
        <v>28</v>
      </c>
      <c r="AG5" s="29">
        <f>D10+D13+D20</f>
        <v>9</v>
      </c>
      <c r="AH5" s="26">
        <f>D10+D14+D20</f>
        <v>6</v>
      </c>
      <c r="AI5" s="28">
        <f>D10+D13+D20</f>
        <v>9</v>
      </c>
      <c r="AJ5" s="26">
        <f>D6+D13+D20</f>
        <v>15</v>
      </c>
      <c r="AK5" s="22">
        <f>D6+D12+D20</f>
        <v>20</v>
      </c>
      <c r="AL5" s="29">
        <f>D7+D14+D20</f>
        <v>10</v>
      </c>
      <c r="AM5" s="99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</row>
    <row r="6" spans="1:63" s="68" customFormat="1" x14ac:dyDescent="0.25">
      <c r="A6" s="162" t="s">
        <v>4</v>
      </c>
      <c r="B6" s="171" t="s">
        <v>103</v>
      </c>
      <c r="C6" s="101" t="s">
        <v>5</v>
      </c>
      <c r="D6" s="102">
        <v>10</v>
      </c>
      <c r="E6" s="103"/>
      <c r="F6" s="17"/>
      <c r="G6" s="17"/>
      <c r="H6" s="17"/>
      <c r="I6" s="17"/>
      <c r="J6" s="17"/>
      <c r="K6" s="17"/>
      <c r="L6" s="17"/>
      <c r="M6" s="104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>
        <f>1500000/6141571.11*100</f>
        <v>24.423717858735333</v>
      </c>
      <c r="AE6" s="67"/>
      <c r="AF6" s="104"/>
      <c r="AG6" s="104"/>
      <c r="AH6" s="104"/>
      <c r="AI6" s="104"/>
      <c r="AJ6" s="104">
        <f>500/1254.975*100</f>
        <v>39.841431104205263</v>
      </c>
      <c r="AK6" s="104">
        <f>320/806.149*100</f>
        <v>39.694895112441991</v>
      </c>
      <c r="AL6" s="104"/>
      <c r="AM6" s="89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</row>
    <row r="7" spans="1:63" s="68" customFormat="1" x14ac:dyDescent="0.25">
      <c r="A7" s="163"/>
      <c r="B7" s="177"/>
      <c r="C7" s="105" t="s">
        <v>6</v>
      </c>
      <c r="D7" s="106">
        <v>8</v>
      </c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>
        <f>1500/3576.748*100</f>
        <v>41.937536555552697</v>
      </c>
      <c r="AM7" s="89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</row>
    <row r="8" spans="1:63" s="68" customFormat="1" x14ac:dyDescent="0.25">
      <c r="A8" s="163"/>
      <c r="B8" s="177"/>
      <c r="C8" s="105" t="s">
        <v>7</v>
      </c>
      <c r="D8" s="106">
        <v>7</v>
      </c>
      <c r="E8" s="107"/>
      <c r="F8" s="108"/>
      <c r="G8" s="108"/>
      <c r="H8" s="108"/>
      <c r="I8" s="108"/>
      <c r="J8" s="108"/>
      <c r="K8" s="108">
        <f>1500/2939.7*100</f>
        <v>51.025614858659054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9"/>
      <c r="W8" s="108"/>
      <c r="X8" s="108"/>
      <c r="Y8" s="108"/>
      <c r="Z8" s="108"/>
      <c r="AA8" s="108"/>
      <c r="AB8" s="108"/>
      <c r="AC8" s="108"/>
      <c r="AD8" s="108"/>
      <c r="AE8" s="108"/>
      <c r="AF8" s="104">
        <f>763.98864/1527.97727*100</f>
        <v>50.000000327229998</v>
      </c>
      <c r="AG8" s="110"/>
      <c r="AH8" s="110"/>
      <c r="AI8" s="110"/>
      <c r="AJ8" s="110"/>
      <c r="AK8" s="110"/>
      <c r="AL8" s="110"/>
      <c r="AM8" s="89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</row>
    <row r="9" spans="1:63" s="68" customFormat="1" x14ac:dyDescent="0.25">
      <c r="A9" s="163"/>
      <c r="B9" s="177"/>
      <c r="C9" s="105" t="s">
        <v>8</v>
      </c>
      <c r="D9" s="106">
        <v>6</v>
      </c>
      <c r="E9" s="107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>
        <f>1500000/2200000*100</f>
        <v>68.181818181818173</v>
      </c>
      <c r="AB9" s="108"/>
      <c r="AC9" s="108"/>
      <c r="AD9" s="108"/>
      <c r="AE9" s="108"/>
      <c r="AF9" s="108"/>
      <c r="AG9" s="110"/>
      <c r="AH9" s="110"/>
      <c r="AI9" s="110"/>
      <c r="AJ9" s="110"/>
      <c r="AK9" s="110"/>
      <c r="AL9" s="110"/>
      <c r="AM9" s="89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</row>
    <row r="10" spans="1:63" s="68" customFormat="1" ht="21" thickBot="1" x14ac:dyDescent="0.3">
      <c r="A10" s="164"/>
      <c r="B10" s="172"/>
      <c r="C10" s="111" t="s">
        <v>9</v>
      </c>
      <c r="D10" s="112">
        <v>4</v>
      </c>
      <c r="E10" s="113">
        <f>385/500*100</f>
        <v>77</v>
      </c>
      <c r="F10" s="114">
        <f>625.386/812.19*100</f>
        <v>76.999963062830119</v>
      </c>
      <c r="G10" s="114">
        <f>1185/1500*100</f>
        <v>79</v>
      </c>
      <c r="H10" s="114">
        <f>1343/1700*100</f>
        <v>79</v>
      </c>
      <c r="I10" s="114">
        <f>1500/1700*100</f>
        <v>88.235294117647058</v>
      </c>
      <c r="J10" s="114">
        <f>1500/1636.2*100</f>
        <v>91.675834250091668</v>
      </c>
      <c r="K10" s="114"/>
      <c r="L10" s="114">
        <f>1500/1939.1*100</f>
        <v>77.355474189056778</v>
      </c>
      <c r="M10" s="115">
        <f>949.148/970.5*100</f>
        <v>97.799896960329718</v>
      </c>
      <c r="N10" s="115">
        <f>1500/1599.082*100</f>
        <v>93.803819941691529</v>
      </c>
      <c r="O10" s="114">
        <f>751.904/768.82*100</f>
        <v>97.799745063864094</v>
      </c>
      <c r="P10" s="114">
        <f>1500/1600*100</f>
        <v>93.75</v>
      </c>
      <c r="Q10" s="115">
        <f>1500/1538.699*100</f>
        <v>97.48495319747397</v>
      </c>
      <c r="R10" s="114">
        <f>1500/1600*100</f>
        <v>93.75</v>
      </c>
      <c r="S10" s="114">
        <f>1500/1787.056*100</f>
        <v>83.936933145911482</v>
      </c>
      <c r="T10" s="114">
        <f>1500/1600*100</f>
        <v>93.75</v>
      </c>
      <c r="U10" s="114">
        <f>1500/1600*100</f>
        <v>93.75</v>
      </c>
      <c r="V10" s="108">
        <f>797.324/806.194</f>
        <v>0.98899768542063071</v>
      </c>
      <c r="W10" s="114">
        <f>452.5/474.5*100</f>
        <v>95.363540569020017</v>
      </c>
      <c r="X10" s="114">
        <f>452.5/474.5*100</f>
        <v>95.363540569020017</v>
      </c>
      <c r="Y10" s="114">
        <f>1552000/1600000*100</f>
        <v>97</v>
      </c>
      <c r="Z10" s="114">
        <f>1500000/1835240*100</f>
        <v>81.733179311697654</v>
      </c>
      <c r="AA10" s="114"/>
      <c r="AB10" s="108">
        <f>1500/2034.484*100</f>
        <v>73.728768572276806</v>
      </c>
      <c r="AC10" s="108">
        <f>1279.0608/1332.355*100</f>
        <v>96</v>
      </c>
      <c r="AD10" s="114"/>
      <c r="AE10" s="114">
        <f>821517.25/846925*100</f>
        <v>97</v>
      </c>
      <c r="AF10" s="114"/>
      <c r="AG10" s="114">
        <f>1500/1975.792*100</f>
        <v>75.918922639630082</v>
      </c>
      <c r="AH10" s="114">
        <f>1500/1747.43*100</f>
        <v>85.840348397360685</v>
      </c>
      <c r="AI10" s="114">
        <f>1500/1975.792*100</f>
        <v>75.918922639630082</v>
      </c>
      <c r="AJ10" s="114"/>
      <c r="AK10" s="114"/>
      <c r="AL10" s="114"/>
      <c r="AM10" s="89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</row>
    <row r="11" spans="1:63" s="68" customFormat="1" x14ac:dyDescent="0.25">
      <c r="A11" s="162" t="s">
        <v>10</v>
      </c>
      <c r="B11" s="171" t="s">
        <v>104</v>
      </c>
      <c r="C11" s="101" t="s">
        <v>11</v>
      </c>
      <c r="D11" s="102">
        <v>15</v>
      </c>
      <c r="E11" s="10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>
        <f>110114.4/1835240*100</f>
        <v>6</v>
      </c>
      <c r="AA11" s="17">
        <f>700000/2200000*100</f>
        <v>31.818181818181817</v>
      </c>
      <c r="AB11" s="17"/>
      <c r="AC11" s="17"/>
      <c r="AD11" s="17"/>
      <c r="AE11" s="17"/>
      <c r="AF11" s="104">
        <f>91.67864/1527.97727*100</f>
        <v>6.000000248694799</v>
      </c>
      <c r="AG11" s="104"/>
      <c r="AH11" s="104"/>
      <c r="AI11" s="104"/>
      <c r="AJ11" s="104"/>
      <c r="AK11" s="104"/>
      <c r="AL11" s="104"/>
      <c r="AM11" s="89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</row>
    <row r="12" spans="1:63" s="68" customFormat="1" x14ac:dyDescent="0.25">
      <c r="A12" s="163"/>
      <c r="B12" s="177"/>
      <c r="C12" s="105" t="s">
        <v>12</v>
      </c>
      <c r="D12" s="106">
        <v>10</v>
      </c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>
        <f>19/474.5*100</f>
        <v>4.0042149631190727</v>
      </c>
      <c r="X12" s="108"/>
      <c r="Y12" s="108">
        <f>48000/1600000*100</f>
        <v>3</v>
      </c>
      <c r="Z12" s="108"/>
      <c r="AA12" s="108"/>
      <c r="AB12" s="108">
        <f>61.03452/2034.484*100</f>
        <v>3.0000000000000004</v>
      </c>
      <c r="AC12" s="108">
        <f>53.2942/1332.355*100</f>
        <v>3.9999999999999996</v>
      </c>
      <c r="AD12" s="108">
        <f>184247.13/6141571.11*100</f>
        <v>2.9999999462678208</v>
      </c>
      <c r="AE12" s="108">
        <f>25407.75/846925*100</f>
        <v>3</v>
      </c>
      <c r="AF12" s="108"/>
      <c r="AG12" s="110"/>
      <c r="AH12" s="110"/>
      <c r="AI12" s="110"/>
      <c r="AJ12" s="110"/>
      <c r="AK12" s="110">
        <f>25/806.149*100</f>
        <v>3.1011636806595306</v>
      </c>
      <c r="AL12" s="110"/>
      <c r="AM12" s="89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</row>
    <row r="13" spans="1:63" s="68" customFormat="1" x14ac:dyDescent="0.25">
      <c r="A13" s="163"/>
      <c r="B13" s="177"/>
      <c r="C13" s="105" t="s">
        <v>13</v>
      </c>
      <c r="D13" s="106">
        <v>5</v>
      </c>
      <c r="E13" s="107"/>
      <c r="F13" s="108"/>
      <c r="G13" s="108"/>
      <c r="H13" s="108"/>
      <c r="I13" s="108">
        <f>25/1700*100</f>
        <v>1.4705882352941175</v>
      </c>
      <c r="J13" s="108">
        <f>25/1636.2*100</f>
        <v>1.5279305708348612</v>
      </c>
      <c r="K13" s="108"/>
      <c r="L13" s="108">
        <f>24/1939.1*100</f>
        <v>1.2376875870249084</v>
      </c>
      <c r="M13" s="108">
        <f>10.676/970.5*100</f>
        <v>1.1000515198351366</v>
      </c>
      <c r="N13" s="108"/>
      <c r="O13" s="108">
        <f>8.458/768.82*100</f>
        <v>1.1001274680679483</v>
      </c>
      <c r="P13" s="108">
        <f>17.6/1538.699*100</f>
        <v>1.1438234508503613</v>
      </c>
      <c r="Q13" s="108"/>
      <c r="R13" s="108"/>
      <c r="S13" s="108"/>
      <c r="T13" s="108"/>
      <c r="U13" s="108"/>
      <c r="V13" s="108">
        <f>8.87/806.194*100</f>
        <v>1.1002314579369235</v>
      </c>
      <c r="W13" s="108"/>
      <c r="X13" s="108">
        <f>16/539*100</f>
        <v>2.9684601113172544</v>
      </c>
      <c r="Y13" s="108"/>
      <c r="Z13" s="116"/>
      <c r="AA13" s="108"/>
      <c r="AB13" s="108"/>
      <c r="AC13" s="108"/>
      <c r="AD13" s="108"/>
      <c r="AE13" s="108"/>
      <c r="AF13" s="108"/>
      <c r="AG13" s="110">
        <f>40/1975.972*100</f>
        <v>2.0243201826746535</v>
      </c>
      <c r="AH13" s="110"/>
      <c r="AI13" s="110">
        <f>40/1975.972*100</f>
        <v>2.0243201826746535</v>
      </c>
      <c r="AJ13" s="110">
        <f>15/1254.975*100</f>
        <v>1.195242933126158</v>
      </c>
      <c r="AK13" s="110"/>
      <c r="AL13" s="110"/>
      <c r="AM13" s="89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</row>
    <row r="14" spans="1:63" s="68" customFormat="1" ht="21" thickBot="1" x14ac:dyDescent="0.35">
      <c r="A14" s="164"/>
      <c r="B14" s="172"/>
      <c r="C14" s="111" t="s">
        <v>14</v>
      </c>
      <c r="D14" s="112">
        <v>2</v>
      </c>
      <c r="E14" s="113">
        <f>5/500*100</f>
        <v>1</v>
      </c>
      <c r="F14" s="114">
        <f>8.122/812.19*100</f>
        <v>1.000012312389958</v>
      </c>
      <c r="G14" s="114">
        <f>15/1500*100</f>
        <v>1</v>
      </c>
      <c r="H14" s="114">
        <f>17/1700*100</f>
        <v>1</v>
      </c>
      <c r="I14" s="114"/>
      <c r="J14" s="114"/>
      <c r="K14" s="114">
        <f>3.716/2939.716*100</f>
        <v>0.12640676854498872</v>
      </c>
      <c r="L14" s="114"/>
      <c r="M14" s="115"/>
      <c r="N14" s="114">
        <f>7.996/1599.082*100</f>
        <v>0.50003689616917701</v>
      </c>
      <c r="O14" s="114"/>
      <c r="P14" s="117"/>
      <c r="Q14" s="114">
        <f>7.694/1538.699*100</f>
        <v>0.5000328199342432</v>
      </c>
      <c r="R14" s="114">
        <f>8/1600*100</f>
        <v>0.5</v>
      </c>
      <c r="S14" s="114">
        <f>8.936/1787.056*100</f>
        <v>0.50004028972791004</v>
      </c>
      <c r="T14" s="114">
        <f>8/1600*100</f>
        <v>0.5</v>
      </c>
      <c r="U14" s="114">
        <f>8/1600*100</f>
        <v>0.5</v>
      </c>
      <c r="V14" s="118"/>
      <c r="W14" s="119"/>
      <c r="X14" s="120"/>
      <c r="Y14" s="114"/>
      <c r="Z14" s="114"/>
      <c r="AA14" s="114"/>
      <c r="AB14" s="114"/>
      <c r="AC14" s="115"/>
      <c r="AD14" s="114"/>
      <c r="AE14" s="114"/>
      <c r="AF14" s="114"/>
      <c r="AG14" s="114"/>
      <c r="AH14" s="114">
        <f>12/1747.43*100</f>
        <v>0.68672278717888557</v>
      </c>
      <c r="AI14" s="114"/>
      <c r="AJ14" s="114"/>
      <c r="AK14" s="114"/>
      <c r="AL14" s="114">
        <f>20/3576.748*100</f>
        <v>0.55916715407403594</v>
      </c>
      <c r="AM14" s="89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</row>
    <row r="15" spans="1:63" s="68" customFormat="1" x14ac:dyDescent="0.25">
      <c r="A15" s="168" t="s">
        <v>15</v>
      </c>
      <c r="B15" s="178" t="s">
        <v>105</v>
      </c>
      <c r="C15" s="121" t="s">
        <v>16</v>
      </c>
      <c r="D15" s="122">
        <v>15</v>
      </c>
      <c r="E15" s="123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104"/>
      <c r="AH15" s="104"/>
      <c r="AI15" s="116"/>
      <c r="AJ15" s="116"/>
      <c r="AK15" s="116"/>
      <c r="AL15" s="116"/>
      <c r="AM15" s="89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</row>
    <row r="16" spans="1:63" s="68" customFormat="1" x14ac:dyDescent="0.25">
      <c r="A16" s="163"/>
      <c r="B16" s="177"/>
      <c r="C16" s="105" t="s">
        <v>17</v>
      </c>
      <c r="D16" s="106">
        <v>12</v>
      </c>
      <c r="E16" s="107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89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</row>
    <row r="17" spans="1:63" s="68" customFormat="1" x14ac:dyDescent="0.25">
      <c r="A17" s="163"/>
      <c r="B17" s="177"/>
      <c r="C17" s="105" t="s">
        <v>12</v>
      </c>
      <c r="D17" s="106">
        <v>10</v>
      </c>
      <c r="E17" s="10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>
        <f>61.03452/2034.484*100</f>
        <v>3.0000000000000004</v>
      </c>
      <c r="AC17" s="108"/>
      <c r="AD17" s="108"/>
      <c r="AE17" s="108"/>
      <c r="AF17" s="108"/>
      <c r="AG17" s="124"/>
      <c r="AH17" s="124"/>
      <c r="AI17" s="124"/>
      <c r="AJ17" s="124"/>
      <c r="AK17" s="124"/>
      <c r="AL17" s="124"/>
      <c r="AM17" s="89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</row>
    <row r="18" spans="1:63" s="68" customFormat="1" x14ac:dyDescent="0.25">
      <c r="A18" s="163"/>
      <c r="B18" s="177"/>
      <c r="C18" s="105" t="s">
        <v>13</v>
      </c>
      <c r="D18" s="106">
        <v>6</v>
      </c>
      <c r="E18" s="107">
        <f>10/500*100</f>
        <v>2</v>
      </c>
      <c r="F18" s="108">
        <f>16.244/812.19*100</f>
        <v>2.000024624779916</v>
      </c>
      <c r="G18" s="108"/>
      <c r="H18" s="108"/>
      <c r="I18" s="108"/>
      <c r="J18" s="108"/>
      <c r="K18" s="108"/>
      <c r="L18" s="108"/>
      <c r="M18" s="104">
        <f>10.676/970.5*100</f>
        <v>1.1000515198351366</v>
      </c>
      <c r="N18" s="108">
        <f>17.59/1599.082*100</f>
        <v>1.1000061285162361</v>
      </c>
      <c r="O18" s="108">
        <f>8.458/768.82*100</f>
        <v>1.1001274680679483</v>
      </c>
      <c r="P18" s="108">
        <f>17.6/1538.699*100</f>
        <v>1.1438234508503613</v>
      </c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4">
        <f>15.27977/1527.97727*100</f>
        <v>0.99999982329580062</v>
      </c>
      <c r="AG18" s="110"/>
      <c r="AH18" s="110"/>
      <c r="AI18" s="110"/>
      <c r="AJ18" s="110"/>
      <c r="AK18" s="110"/>
      <c r="AL18" s="110"/>
      <c r="AM18" s="89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</row>
    <row r="19" spans="1:63" s="68" customFormat="1" x14ac:dyDescent="0.25">
      <c r="A19" s="163"/>
      <c r="B19" s="177"/>
      <c r="C19" s="105" t="s">
        <v>18</v>
      </c>
      <c r="D19" s="106">
        <v>4</v>
      </c>
      <c r="E19" s="107"/>
      <c r="F19" s="108"/>
      <c r="G19" s="108"/>
      <c r="H19" s="108"/>
      <c r="I19" s="108"/>
      <c r="J19" s="108"/>
      <c r="K19" s="108"/>
      <c r="L19" s="108">
        <f>15.1/1939.1*100</f>
        <v>0.77871177350317156</v>
      </c>
      <c r="M19" s="108"/>
      <c r="N19" s="67"/>
      <c r="O19" s="108"/>
      <c r="P19" s="90"/>
      <c r="Q19" s="108">
        <f>7.694/1538.699*100</f>
        <v>0.5000328199342432</v>
      </c>
      <c r="R19" s="108"/>
      <c r="S19" s="108"/>
      <c r="T19" s="108">
        <f>8/1600*100</f>
        <v>0.5</v>
      </c>
      <c r="U19" s="108"/>
      <c r="V19" s="108"/>
      <c r="W19" s="108">
        <f>3/474.5*100</f>
        <v>0.63224446786090627</v>
      </c>
      <c r="X19" s="108">
        <f>1/539*100</f>
        <v>0.1855287569573284</v>
      </c>
      <c r="Y19" s="108"/>
      <c r="Z19" s="108"/>
      <c r="AA19" s="108"/>
      <c r="AB19" s="108"/>
      <c r="AC19" s="108"/>
      <c r="AD19" s="108"/>
      <c r="AE19" s="108"/>
      <c r="AF19" s="108"/>
      <c r="AG19" s="110"/>
      <c r="AH19" s="110"/>
      <c r="AI19" s="110"/>
      <c r="AJ19" s="110"/>
      <c r="AK19" s="110"/>
      <c r="AL19" s="110"/>
      <c r="AM19" s="89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</row>
    <row r="20" spans="1:63" s="68" customFormat="1" ht="31.8" thickBot="1" x14ac:dyDescent="0.3">
      <c r="A20" s="164"/>
      <c r="B20" s="172"/>
      <c r="C20" s="111" t="s">
        <v>19</v>
      </c>
      <c r="D20" s="112">
        <v>0</v>
      </c>
      <c r="E20" s="113"/>
      <c r="F20" s="114"/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4"/>
      <c r="M20" s="115"/>
      <c r="N20" s="114"/>
      <c r="O20" s="114"/>
      <c r="P20" s="114"/>
      <c r="Q20" s="114"/>
      <c r="R20" s="114">
        <v>0</v>
      </c>
      <c r="S20" s="114">
        <v>0</v>
      </c>
      <c r="T20" s="114"/>
      <c r="U20" s="114">
        <v>0</v>
      </c>
      <c r="V20" s="114">
        <v>0</v>
      </c>
      <c r="W20" s="114"/>
      <c r="X20" s="114"/>
      <c r="Y20" s="114">
        <v>0</v>
      </c>
      <c r="Z20" s="114">
        <v>0</v>
      </c>
      <c r="AA20" s="114">
        <v>0</v>
      </c>
      <c r="AB20" s="114"/>
      <c r="AC20" s="114">
        <f>0/1332.355*100</f>
        <v>0</v>
      </c>
      <c r="AD20" s="114">
        <v>0</v>
      </c>
      <c r="AE20" s="114">
        <v>0</v>
      </c>
      <c r="AF20" s="114"/>
      <c r="AG20" s="114">
        <v>0</v>
      </c>
      <c r="AH20" s="114">
        <v>0</v>
      </c>
      <c r="AI20" s="114">
        <v>0</v>
      </c>
      <c r="AJ20" s="114">
        <v>0</v>
      </c>
      <c r="AK20" s="114">
        <v>0</v>
      </c>
      <c r="AL20" s="114">
        <v>0</v>
      </c>
      <c r="AM20" s="89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</row>
    <row r="21" spans="1:63" s="4" customFormat="1" ht="38.4" customHeight="1" thickBot="1" x14ac:dyDescent="0.4">
      <c r="A21" s="98">
        <v>2</v>
      </c>
      <c r="B21" s="166" t="s">
        <v>20</v>
      </c>
      <c r="C21" s="166"/>
      <c r="D21" s="167"/>
      <c r="E21" s="15">
        <f>D26+D28</f>
        <v>16</v>
      </c>
      <c r="F21" s="7">
        <f>D26+D28</f>
        <v>16</v>
      </c>
      <c r="G21" s="6">
        <f>D26+D28</f>
        <v>16</v>
      </c>
      <c r="H21" s="8">
        <f>D26+D28</f>
        <v>16</v>
      </c>
      <c r="I21" s="9">
        <f>D26+D28</f>
        <v>16</v>
      </c>
      <c r="J21" s="6">
        <f>D26+D28</f>
        <v>16</v>
      </c>
      <c r="K21" s="10">
        <f>D26+D28</f>
        <v>16</v>
      </c>
      <c r="L21" s="11">
        <f>D26+D28</f>
        <v>16</v>
      </c>
      <c r="M21" s="8">
        <f>D26+D28</f>
        <v>16</v>
      </c>
      <c r="N21" s="125">
        <f>D27+D28</f>
        <v>15</v>
      </c>
      <c r="O21" s="126">
        <f>D27+D28</f>
        <v>15</v>
      </c>
      <c r="P21" s="10">
        <f>D27+D29</f>
        <v>5</v>
      </c>
      <c r="Q21" s="6">
        <f>D27+D28</f>
        <v>15</v>
      </c>
      <c r="R21" s="11">
        <f>D27+D28</f>
        <v>15</v>
      </c>
      <c r="S21" s="12">
        <f>D27+D28</f>
        <v>15</v>
      </c>
      <c r="T21" s="11">
        <f>D26+D28</f>
        <v>16</v>
      </c>
      <c r="U21" s="8">
        <f>D27+D28</f>
        <v>15</v>
      </c>
      <c r="V21" s="10">
        <f>D26+D28</f>
        <v>16</v>
      </c>
      <c r="W21" s="6">
        <f>D24+D28</f>
        <v>18</v>
      </c>
      <c r="X21" s="8">
        <f>D25+D28</f>
        <v>17</v>
      </c>
      <c r="Y21" s="11">
        <f>D26+D29</f>
        <v>6</v>
      </c>
      <c r="Z21" s="10">
        <f>D26+D29</f>
        <v>6</v>
      </c>
      <c r="AA21" s="6">
        <f>D26+D29</f>
        <v>6</v>
      </c>
      <c r="AB21" s="10">
        <f>D26+D29</f>
        <v>6</v>
      </c>
      <c r="AC21" s="8">
        <f>D26+D29</f>
        <v>6</v>
      </c>
      <c r="AD21" s="11">
        <f>D26+D29</f>
        <v>6</v>
      </c>
      <c r="AE21" s="10">
        <f>D27+D29</f>
        <v>5</v>
      </c>
      <c r="AF21" s="8">
        <f>D27+D28</f>
        <v>15</v>
      </c>
      <c r="AG21" s="10">
        <f>D27+D29</f>
        <v>5</v>
      </c>
      <c r="AH21" s="11">
        <f>D27+D29</f>
        <v>5</v>
      </c>
      <c r="AI21" s="8">
        <f>D27+D29</f>
        <v>5</v>
      </c>
      <c r="AJ21" s="11">
        <f>D27+D29</f>
        <v>5</v>
      </c>
      <c r="AK21" s="127">
        <f>D27+D29</f>
        <v>5</v>
      </c>
      <c r="AL21" s="128">
        <f>D27+D29</f>
        <v>5</v>
      </c>
      <c r="AM21" s="99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</row>
    <row r="22" spans="1:63" s="68" customFormat="1" x14ac:dyDescent="0.25">
      <c r="A22" s="162" t="s">
        <v>21</v>
      </c>
      <c r="B22" s="171" t="s">
        <v>56</v>
      </c>
      <c r="C22" s="101" t="s">
        <v>22</v>
      </c>
      <c r="D22" s="102">
        <v>10</v>
      </c>
      <c r="E22" s="10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29"/>
      <c r="AL22" s="129"/>
      <c r="AM22" s="89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</row>
    <row r="23" spans="1:63" s="68" customFormat="1" x14ac:dyDescent="0.25">
      <c r="A23" s="163"/>
      <c r="B23" s="177"/>
      <c r="C23" s="105" t="s">
        <v>23</v>
      </c>
      <c r="D23" s="106">
        <v>9</v>
      </c>
      <c r="E23" s="10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30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10"/>
      <c r="AL23" s="110"/>
      <c r="AM23" s="89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</row>
    <row r="24" spans="1:63" s="68" customFormat="1" x14ac:dyDescent="0.25">
      <c r="A24" s="163"/>
      <c r="B24" s="177"/>
      <c r="C24" s="105" t="s">
        <v>17</v>
      </c>
      <c r="D24" s="106">
        <v>8</v>
      </c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31"/>
      <c r="W24" s="108">
        <f>25/393*100</f>
        <v>6.3613231552162848</v>
      </c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10"/>
      <c r="AL24" s="110"/>
      <c r="AM24" s="89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</row>
    <row r="25" spans="1:63" s="68" customFormat="1" x14ac:dyDescent="0.25">
      <c r="A25" s="163"/>
      <c r="B25" s="177"/>
      <c r="C25" s="105" t="s">
        <v>12</v>
      </c>
      <c r="D25" s="106">
        <v>7</v>
      </c>
      <c r="E25" s="107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31"/>
      <c r="W25" s="108"/>
      <c r="X25" s="108">
        <f>14/393*100</f>
        <v>3.5623409669211195</v>
      </c>
      <c r="Y25" s="108"/>
      <c r="Z25" s="108"/>
      <c r="AA25" s="108"/>
      <c r="AB25" s="108"/>
      <c r="AC25" s="108"/>
      <c r="AD25" s="108"/>
      <c r="AE25" s="108"/>
      <c r="AF25" s="108"/>
      <c r="AG25" s="110"/>
      <c r="AH25" s="110"/>
      <c r="AI25" s="110"/>
      <c r="AJ25" s="110"/>
      <c r="AK25" s="110"/>
      <c r="AL25" s="110"/>
      <c r="AM25" s="89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</row>
    <row r="26" spans="1:63" s="68" customFormat="1" x14ac:dyDescent="0.25">
      <c r="A26" s="163"/>
      <c r="B26" s="177"/>
      <c r="C26" s="105" t="s">
        <v>13</v>
      </c>
      <c r="D26" s="106">
        <v>6</v>
      </c>
      <c r="E26" s="107">
        <f>43/2085*100</f>
        <v>2.0623501199040768</v>
      </c>
      <c r="F26" s="108">
        <f>42/2085*100</f>
        <v>2.014388489208633</v>
      </c>
      <c r="G26" s="108">
        <f>42/2085*100</f>
        <v>2.014388489208633</v>
      </c>
      <c r="H26" s="108">
        <f>38/2085*100</f>
        <v>1.8225419664268585</v>
      </c>
      <c r="I26" s="108">
        <f>19/1539*100</f>
        <v>1.2345679012345678</v>
      </c>
      <c r="J26" s="108">
        <f>16/1539*100</f>
        <v>1.0396361273554255</v>
      </c>
      <c r="K26" s="108">
        <f>26/1831*100</f>
        <v>1.4199890770071</v>
      </c>
      <c r="L26" s="108">
        <f>25/1708*100</f>
        <v>1.4637002341920375</v>
      </c>
      <c r="M26" s="108">
        <f>35/2660*100</f>
        <v>1.3157894736842104</v>
      </c>
      <c r="N26" s="108"/>
      <c r="O26" s="108"/>
      <c r="P26" s="108"/>
      <c r="Q26" s="108"/>
      <c r="R26" s="108"/>
      <c r="S26" s="108"/>
      <c r="T26" s="108">
        <f>45/2660*100</f>
        <v>1.6917293233082706</v>
      </c>
      <c r="U26" s="108"/>
      <c r="V26" s="108">
        <f>16/1106*100</f>
        <v>1.4466546112115732</v>
      </c>
      <c r="W26" s="108"/>
      <c r="X26" s="108"/>
      <c r="Y26" s="108">
        <f>85/7403*100</f>
        <v>1.1481831689855464</v>
      </c>
      <c r="Z26" s="108">
        <f>118/7403*100</f>
        <v>1.593948399297582</v>
      </c>
      <c r="AA26" s="108">
        <f>124/7403*100</f>
        <v>1.6749966229906792</v>
      </c>
      <c r="AB26" s="108">
        <f>78/7403*100</f>
        <v>1.053626908010266</v>
      </c>
      <c r="AC26" s="108">
        <f>88/7403*100</f>
        <v>1.1887072808320951</v>
      </c>
      <c r="AD26" s="108">
        <f>119/7403*100</f>
        <v>1.6074564365797648</v>
      </c>
      <c r="AE26" s="108"/>
      <c r="AF26" s="108"/>
      <c r="AG26" s="124"/>
      <c r="AH26" s="124"/>
      <c r="AI26" s="124"/>
      <c r="AJ26" s="124"/>
      <c r="AK26" s="124"/>
      <c r="AL26" s="108"/>
      <c r="AM26" s="89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</row>
    <row r="27" spans="1:63" s="68" customFormat="1" ht="21" thickBot="1" x14ac:dyDescent="0.3">
      <c r="A27" s="164"/>
      <c r="B27" s="172"/>
      <c r="C27" s="111" t="s">
        <v>24</v>
      </c>
      <c r="D27" s="112">
        <v>5</v>
      </c>
      <c r="E27" s="113"/>
      <c r="F27" s="114"/>
      <c r="G27" s="114"/>
      <c r="H27" s="114"/>
      <c r="I27" s="114"/>
      <c r="J27" s="114"/>
      <c r="K27" s="114"/>
      <c r="L27" s="114"/>
      <c r="M27" s="114"/>
      <c r="N27" s="108">
        <f>19/2660*100</f>
        <v>0.7142857142857143</v>
      </c>
      <c r="O27" s="114">
        <f>25/2660*100</f>
        <v>0.93984962406015038</v>
      </c>
      <c r="P27" s="114">
        <f>25/2660*100</f>
        <v>0.93984962406015038</v>
      </c>
      <c r="Q27" s="115">
        <f>25/2660*100</f>
        <v>0.93984962406015038</v>
      </c>
      <c r="R27" s="114">
        <f>25/2660*100</f>
        <v>0.93984962406015038</v>
      </c>
      <c r="S27" s="114">
        <f>25/2660*100</f>
        <v>0.93984962406015038</v>
      </c>
      <c r="T27" s="114"/>
      <c r="U27" s="114">
        <f>22/2660*100</f>
        <v>0.82706766917293228</v>
      </c>
      <c r="V27" s="114"/>
      <c r="W27" s="114"/>
      <c r="X27" s="114"/>
      <c r="Y27" s="114"/>
      <c r="Z27" s="114"/>
      <c r="AA27" s="114"/>
      <c r="AB27" s="108"/>
      <c r="AC27" s="114"/>
      <c r="AD27" s="114"/>
      <c r="AE27" s="114">
        <f>80/7403*100</f>
        <v>1.080642982574632</v>
      </c>
      <c r="AF27" s="108">
        <f>24/26364*100</f>
        <v>9.1033227127901684E-2</v>
      </c>
      <c r="AG27" s="108">
        <f>17/26364*100</f>
        <v>6.4481869215597024E-2</v>
      </c>
      <c r="AH27" s="108">
        <f>12/26364*100</f>
        <v>4.5516613563950842E-2</v>
      </c>
      <c r="AI27" s="108">
        <f>44/26364*100</f>
        <v>0.16689424973448641</v>
      </c>
      <c r="AJ27" s="108">
        <f>44/26364*100</f>
        <v>0.16689424973448641</v>
      </c>
      <c r="AK27" s="108">
        <f>15/26364*100</f>
        <v>5.6895766954938545E-2</v>
      </c>
      <c r="AL27" s="108">
        <f>33/26364*100</f>
        <v>0.12517068730086484</v>
      </c>
      <c r="AM27" s="89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</row>
    <row r="28" spans="1:63" s="68" customFormat="1" x14ac:dyDescent="0.25">
      <c r="A28" s="169" t="s">
        <v>25</v>
      </c>
      <c r="B28" s="171" t="s">
        <v>26</v>
      </c>
      <c r="C28" s="101" t="s">
        <v>27</v>
      </c>
      <c r="D28" s="102">
        <v>10</v>
      </c>
      <c r="E28" s="103" t="s">
        <v>36</v>
      </c>
      <c r="F28" s="17" t="s">
        <v>36</v>
      </c>
      <c r="G28" s="17" t="s">
        <v>36</v>
      </c>
      <c r="H28" s="17" t="s">
        <v>36</v>
      </c>
      <c r="I28" s="17" t="s">
        <v>36</v>
      </c>
      <c r="J28" s="17" t="s">
        <v>36</v>
      </c>
      <c r="K28" s="17" t="s">
        <v>36</v>
      </c>
      <c r="L28" s="132" t="s">
        <v>36</v>
      </c>
      <c r="M28" s="132" t="s">
        <v>36</v>
      </c>
      <c r="N28" s="132" t="s">
        <v>36</v>
      </c>
      <c r="O28" s="17" t="s">
        <v>36</v>
      </c>
      <c r="P28" s="132"/>
      <c r="Q28" s="132" t="s">
        <v>36</v>
      </c>
      <c r="R28" s="17" t="s">
        <v>36</v>
      </c>
      <c r="S28" s="132" t="s">
        <v>36</v>
      </c>
      <c r="T28" s="132" t="s">
        <v>36</v>
      </c>
      <c r="U28" s="132" t="s">
        <v>36</v>
      </c>
      <c r="V28" s="133" t="s">
        <v>36</v>
      </c>
      <c r="W28" s="17" t="s">
        <v>27</v>
      </c>
      <c r="X28" s="17" t="s">
        <v>27</v>
      </c>
      <c r="Y28" s="17"/>
      <c r="Z28" s="17"/>
      <c r="AA28" s="17"/>
      <c r="AB28" s="17"/>
      <c r="AC28" s="17"/>
      <c r="AD28" s="17"/>
      <c r="AE28" s="17"/>
      <c r="AF28" s="132" t="s">
        <v>36</v>
      </c>
      <c r="AG28" s="132"/>
      <c r="AH28" s="132"/>
      <c r="AI28" s="132"/>
      <c r="AJ28" s="132"/>
      <c r="AK28" s="132"/>
      <c r="AL28" s="132"/>
      <c r="AM28" s="89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</row>
    <row r="29" spans="1:63" s="68" customFormat="1" ht="21" thickBot="1" x14ac:dyDescent="0.3">
      <c r="A29" s="170"/>
      <c r="B29" s="172"/>
      <c r="C29" s="111" t="s">
        <v>28</v>
      </c>
      <c r="D29" s="112">
        <v>0</v>
      </c>
      <c r="E29" s="134"/>
      <c r="F29" s="50"/>
      <c r="G29" s="50"/>
      <c r="H29" s="114"/>
      <c r="I29" s="50"/>
      <c r="J29" s="50"/>
      <c r="K29" s="50"/>
      <c r="L29" s="111"/>
      <c r="M29" s="111"/>
      <c r="N29" s="50"/>
      <c r="O29" s="111"/>
      <c r="P29" s="50" t="s">
        <v>28</v>
      </c>
      <c r="Q29" s="111"/>
      <c r="R29" s="111"/>
      <c r="S29" s="50"/>
      <c r="T29" s="50"/>
      <c r="U29" s="50"/>
      <c r="V29" s="50"/>
      <c r="W29" s="50"/>
      <c r="X29" s="50"/>
      <c r="Y29" s="50" t="s">
        <v>28</v>
      </c>
      <c r="Z29" s="50" t="s">
        <v>28</v>
      </c>
      <c r="AA29" s="50" t="s">
        <v>28</v>
      </c>
      <c r="AB29" s="50" t="s">
        <v>28</v>
      </c>
      <c r="AC29" s="50" t="s">
        <v>28</v>
      </c>
      <c r="AD29" s="50" t="s">
        <v>28</v>
      </c>
      <c r="AE29" s="50" t="s">
        <v>28</v>
      </c>
      <c r="AF29" s="111"/>
      <c r="AG29" s="69" t="s">
        <v>28</v>
      </c>
      <c r="AH29" s="69" t="s">
        <v>28</v>
      </c>
      <c r="AI29" s="69" t="s">
        <v>28</v>
      </c>
      <c r="AJ29" s="69" t="s">
        <v>28</v>
      </c>
      <c r="AK29" s="69" t="s">
        <v>28</v>
      </c>
      <c r="AL29" s="69" t="s">
        <v>28</v>
      </c>
      <c r="AM29" s="89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</row>
    <row r="30" spans="1:63" s="4" customFormat="1" ht="21" thickBot="1" x14ac:dyDescent="0.4">
      <c r="A30" s="98">
        <v>3</v>
      </c>
      <c r="B30" s="166" t="s">
        <v>29</v>
      </c>
      <c r="C30" s="166"/>
      <c r="D30" s="167"/>
      <c r="E30" s="15">
        <f>D31+D35+D38+D40</f>
        <v>40</v>
      </c>
      <c r="F30" s="7">
        <f>D31+D35+D38+D40</f>
        <v>40</v>
      </c>
      <c r="G30" s="6">
        <f>D34+D35+D37+D40</f>
        <v>35</v>
      </c>
      <c r="H30" s="8">
        <f>D33+D35+D37+D40</f>
        <v>40</v>
      </c>
      <c r="I30" s="9">
        <f>D31+D35+D37+D39</f>
        <v>60</v>
      </c>
      <c r="J30" s="6">
        <f>D34+D35+D37+D39</f>
        <v>45</v>
      </c>
      <c r="K30" s="10">
        <f>D31+D35+D38+D39</f>
        <v>50</v>
      </c>
      <c r="L30" s="11">
        <f>D33+D35+D37+D39</f>
        <v>50</v>
      </c>
      <c r="M30" s="8">
        <f>D32+D35+D37+D39</f>
        <v>55</v>
      </c>
      <c r="N30" s="135">
        <f>D31+D35+D37+D39</f>
        <v>60</v>
      </c>
      <c r="O30" s="126">
        <f>D33+D35+D37+D39</f>
        <v>50</v>
      </c>
      <c r="P30" s="10">
        <f>D32+D35+D37+D39</f>
        <v>55</v>
      </c>
      <c r="Q30" s="6">
        <f>D34+D35+D38+D40</f>
        <v>25</v>
      </c>
      <c r="R30" s="11">
        <f>D31+D35+D37+D39</f>
        <v>60</v>
      </c>
      <c r="S30" s="12">
        <f>D34+D35+D37+D40</f>
        <v>35</v>
      </c>
      <c r="T30" s="11">
        <f>D32+D37+D39+D35</f>
        <v>55</v>
      </c>
      <c r="U30" s="8">
        <f>D31+D35+D37+D39</f>
        <v>60</v>
      </c>
      <c r="V30" s="39">
        <f>D34+D35+D37+D39</f>
        <v>45</v>
      </c>
      <c r="W30" s="6">
        <f>D31+D35+D37+D39</f>
        <v>60</v>
      </c>
      <c r="X30" s="8">
        <f>D31+D35+D37+D39</f>
        <v>60</v>
      </c>
      <c r="Y30" s="11">
        <f>D34+D35+D37+D39</f>
        <v>45</v>
      </c>
      <c r="Z30" s="10">
        <f>D31+D35+D37+D39</f>
        <v>60</v>
      </c>
      <c r="AA30" s="6">
        <f>D34+D35+D37+D39</f>
        <v>45</v>
      </c>
      <c r="AB30" s="39">
        <f>D31+D35</f>
        <v>40</v>
      </c>
      <c r="AC30" s="8">
        <f>D34+D35+D39</f>
        <v>35</v>
      </c>
      <c r="AD30" s="11">
        <f>D31+D35+D38+D39</f>
        <v>50</v>
      </c>
      <c r="AE30" s="136">
        <f>D31+D35+D37+D39</f>
        <v>60</v>
      </c>
      <c r="AF30" s="8">
        <f>D34+D35+D37+D40</f>
        <v>35</v>
      </c>
      <c r="AG30" s="136">
        <f>D34+D35+D37+D40</f>
        <v>35</v>
      </c>
      <c r="AH30" s="11">
        <f>D33+D35+D37+D39</f>
        <v>50</v>
      </c>
      <c r="AI30" s="8">
        <f>D34+D35+D37+D40</f>
        <v>35</v>
      </c>
      <c r="AJ30" s="11">
        <f>D34+D35+D37+D39</f>
        <v>45</v>
      </c>
      <c r="AK30" s="127">
        <f>D34+D35+D37+D40</f>
        <v>35</v>
      </c>
      <c r="AL30" s="128">
        <f>D34+D35+D37+D40</f>
        <v>35</v>
      </c>
      <c r="AM30" s="99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</row>
    <row r="31" spans="1:63" s="68" customFormat="1" ht="26.4" customHeight="1" x14ac:dyDescent="0.25">
      <c r="A31" s="162" t="s">
        <v>30</v>
      </c>
      <c r="B31" s="171" t="s">
        <v>57</v>
      </c>
      <c r="C31" s="101" t="s">
        <v>31</v>
      </c>
      <c r="D31" s="102">
        <v>20</v>
      </c>
      <c r="E31" s="103">
        <f>2085/2085*100</f>
        <v>100</v>
      </c>
      <c r="F31" s="17">
        <f>2085/2085*100</f>
        <v>100</v>
      </c>
      <c r="G31" s="17"/>
      <c r="H31" s="17"/>
      <c r="I31" s="17">
        <f>1396/1539*100</f>
        <v>90.708252111760885</v>
      </c>
      <c r="J31" s="17"/>
      <c r="K31" s="17">
        <f>1831/1831*100</f>
        <v>100</v>
      </c>
      <c r="L31" s="17"/>
      <c r="M31" s="17"/>
      <c r="N31" s="67">
        <f>2628/2628*100</f>
        <v>100</v>
      </c>
      <c r="O31" s="17"/>
      <c r="P31" s="17"/>
      <c r="Q31" s="17"/>
      <c r="R31" s="17">
        <f>420/2628*100</f>
        <v>15.981735159817351</v>
      </c>
      <c r="S31" s="17"/>
      <c r="T31" s="70"/>
      <c r="U31" s="17">
        <f>420/2628*100</f>
        <v>15.981735159817351</v>
      </c>
      <c r="V31" s="108"/>
      <c r="W31" s="17">
        <f>393/393*100</f>
        <v>100</v>
      </c>
      <c r="X31" s="17">
        <f>111/393*100</f>
        <v>28.244274809160309</v>
      </c>
      <c r="Y31" s="70"/>
      <c r="Z31" s="70">
        <f>1500/7403*100</f>
        <v>20.262055923274346</v>
      </c>
      <c r="AA31" s="70"/>
      <c r="AB31" s="116">
        <f>7403/7403*100</f>
        <v>100</v>
      </c>
      <c r="AC31" s="70"/>
      <c r="AD31" s="70">
        <f>7403/7403*100</f>
        <v>100</v>
      </c>
      <c r="AE31" s="70">
        <f>1560/7403*100</f>
        <v>21.072538160205323</v>
      </c>
      <c r="AF31" s="70"/>
      <c r="AG31" s="71"/>
      <c r="AH31" s="71"/>
      <c r="AI31" s="71"/>
      <c r="AJ31" s="71"/>
      <c r="AK31" s="71"/>
      <c r="AL31" s="71"/>
      <c r="AM31" s="89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</row>
    <row r="32" spans="1:63" s="68" customFormat="1" ht="28.95" customHeight="1" x14ac:dyDescent="0.25">
      <c r="A32" s="163"/>
      <c r="B32" s="177"/>
      <c r="C32" s="105" t="s">
        <v>32</v>
      </c>
      <c r="D32" s="106">
        <v>15</v>
      </c>
      <c r="E32" s="107"/>
      <c r="F32" s="108"/>
      <c r="G32" s="108"/>
      <c r="H32" s="108"/>
      <c r="I32" s="108"/>
      <c r="J32" s="108"/>
      <c r="K32" s="108"/>
      <c r="L32" s="108"/>
      <c r="M32" s="108">
        <f>350/2628*100</f>
        <v>13.318112633181126</v>
      </c>
      <c r="N32" s="108"/>
      <c r="O32" s="108"/>
      <c r="P32" s="108">
        <f>350/2628*100</f>
        <v>13.318112633181126</v>
      </c>
      <c r="Q32" s="108"/>
      <c r="R32" s="108"/>
      <c r="S32" s="108"/>
      <c r="T32" s="108">
        <f>340/2628*100</f>
        <v>12.93759512937595</v>
      </c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89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</row>
    <row r="33" spans="1:63" s="68" customFormat="1" ht="26.4" customHeight="1" x14ac:dyDescent="0.25">
      <c r="A33" s="163"/>
      <c r="B33" s="177"/>
      <c r="C33" s="105" t="s">
        <v>33</v>
      </c>
      <c r="D33" s="106">
        <v>10</v>
      </c>
      <c r="E33" s="107"/>
      <c r="F33" s="108"/>
      <c r="G33" s="108"/>
      <c r="H33" s="108">
        <f>105/2085*100</f>
        <v>5.0359712230215825</v>
      </c>
      <c r="I33" s="108"/>
      <c r="J33" s="108"/>
      <c r="K33" s="108"/>
      <c r="L33" s="108">
        <f>90/1708*100</f>
        <v>5.269320843091335</v>
      </c>
      <c r="M33" s="108"/>
      <c r="N33" s="108"/>
      <c r="O33" s="108">
        <f>250/2628*100</f>
        <v>9.512937595129376</v>
      </c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>
        <f>1335/26364*100</f>
        <v>5.0637232589895307</v>
      </c>
      <c r="AI33" s="108"/>
      <c r="AJ33" s="108"/>
      <c r="AK33" s="108"/>
      <c r="AL33" s="108"/>
      <c r="AM33" s="89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</row>
    <row r="34" spans="1:63" s="68" customFormat="1" ht="27.6" customHeight="1" thickBot="1" x14ac:dyDescent="0.3">
      <c r="A34" s="164"/>
      <c r="B34" s="172"/>
      <c r="C34" s="111" t="s">
        <v>34</v>
      </c>
      <c r="D34" s="112">
        <v>5</v>
      </c>
      <c r="E34" s="113"/>
      <c r="F34" s="114"/>
      <c r="G34" s="114">
        <f>100/2085*100</f>
        <v>4.7961630695443649</v>
      </c>
      <c r="H34" s="114"/>
      <c r="I34" s="114"/>
      <c r="J34" s="114">
        <f>75/1539*100</f>
        <v>4.8732943469785575</v>
      </c>
      <c r="K34" s="114"/>
      <c r="L34" s="114"/>
      <c r="M34" s="114"/>
      <c r="N34" s="114"/>
      <c r="O34" s="114"/>
      <c r="P34" s="114"/>
      <c r="Q34" s="114">
        <f>126/2628*100</f>
        <v>4.7945205479452051</v>
      </c>
      <c r="R34" s="114"/>
      <c r="S34" s="114">
        <f>129/2628*100</f>
        <v>4.9086757990867573</v>
      </c>
      <c r="T34" s="114"/>
      <c r="U34" s="114"/>
      <c r="V34" s="109">
        <f>41/1106*100</f>
        <v>3.7070524412296564</v>
      </c>
      <c r="W34" s="114"/>
      <c r="X34" s="114"/>
      <c r="Y34" s="114">
        <f>176/7403*100</f>
        <v>2.3774145616641902</v>
      </c>
      <c r="Z34" s="114"/>
      <c r="AA34" s="114">
        <f>61/7403*100</f>
        <v>0.82399027421315685</v>
      </c>
      <c r="AB34" s="114"/>
      <c r="AC34" s="114">
        <f>48/7403*100</f>
        <v>0.6483857895447791</v>
      </c>
      <c r="AD34" s="114"/>
      <c r="AE34" s="114"/>
      <c r="AF34" s="108">
        <f>96/26364*100</f>
        <v>0.36413290851160673</v>
      </c>
      <c r="AG34" s="37">
        <f>398/26364*100</f>
        <v>1.5096343498710363</v>
      </c>
      <c r="AH34" s="37"/>
      <c r="AI34" s="37">
        <f>256/26364*100</f>
        <v>0.97102108936428455</v>
      </c>
      <c r="AJ34" s="37">
        <f>53/26364*100</f>
        <v>0.20103170990744954</v>
      </c>
      <c r="AK34" s="37">
        <f>15/26364*100</f>
        <v>5.6895766954938545E-2</v>
      </c>
      <c r="AL34" s="37">
        <f>258/26364*100</f>
        <v>0.97860719162494303</v>
      </c>
      <c r="AM34" s="89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</row>
    <row r="35" spans="1:63" s="68" customFormat="1" ht="30.6" customHeight="1" x14ac:dyDescent="0.25">
      <c r="A35" s="162" t="s">
        <v>35</v>
      </c>
      <c r="B35" s="171" t="s">
        <v>58</v>
      </c>
      <c r="C35" s="101" t="s">
        <v>36</v>
      </c>
      <c r="D35" s="102">
        <v>20</v>
      </c>
      <c r="E35" s="137" t="s">
        <v>36</v>
      </c>
      <c r="F35" s="132" t="s">
        <v>36</v>
      </c>
      <c r="G35" s="132" t="s">
        <v>36</v>
      </c>
      <c r="H35" s="132" t="s">
        <v>36</v>
      </c>
      <c r="I35" s="132" t="s">
        <v>36</v>
      </c>
      <c r="J35" s="132" t="s">
        <v>36</v>
      </c>
      <c r="K35" s="132" t="s">
        <v>36</v>
      </c>
      <c r="L35" s="132" t="s">
        <v>36</v>
      </c>
      <c r="M35" s="132" t="s">
        <v>36</v>
      </c>
      <c r="N35" s="132" t="s">
        <v>36</v>
      </c>
      <c r="O35" s="132" t="s">
        <v>36</v>
      </c>
      <c r="P35" s="132" t="s">
        <v>36</v>
      </c>
      <c r="Q35" s="132" t="s">
        <v>36</v>
      </c>
      <c r="R35" s="132" t="s">
        <v>36</v>
      </c>
      <c r="S35" s="132" t="s">
        <v>36</v>
      </c>
      <c r="T35" s="132" t="s">
        <v>36</v>
      </c>
      <c r="U35" s="132" t="s">
        <v>36</v>
      </c>
      <c r="V35" s="132" t="s">
        <v>36</v>
      </c>
      <c r="W35" s="132" t="s">
        <v>39</v>
      </c>
      <c r="X35" s="132" t="s">
        <v>39</v>
      </c>
      <c r="Y35" s="132" t="s">
        <v>39</v>
      </c>
      <c r="Z35" s="132" t="s">
        <v>39</v>
      </c>
      <c r="AA35" s="132" t="s">
        <v>39</v>
      </c>
      <c r="AB35" s="132" t="s">
        <v>36</v>
      </c>
      <c r="AC35" s="132" t="s">
        <v>36</v>
      </c>
      <c r="AD35" s="132" t="s">
        <v>36</v>
      </c>
      <c r="AE35" s="132" t="s">
        <v>36</v>
      </c>
      <c r="AF35" s="132" t="s">
        <v>36</v>
      </c>
      <c r="AG35" s="132" t="s">
        <v>36</v>
      </c>
      <c r="AH35" s="132" t="s">
        <v>36</v>
      </c>
      <c r="AI35" s="132" t="s">
        <v>36</v>
      </c>
      <c r="AJ35" s="132" t="s">
        <v>36</v>
      </c>
      <c r="AK35" s="132" t="s">
        <v>36</v>
      </c>
      <c r="AL35" s="132" t="s">
        <v>36</v>
      </c>
      <c r="AM35" s="89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</row>
    <row r="36" spans="1:63" s="68" customFormat="1" ht="38.4" customHeight="1" thickBot="1" x14ac:dyDescent="0.3">
      <c r="A36" s="164"/>
      <c r="B36" s="172"/>
      <c r="C36" s="111" t="s">
        <v>28</v>
      </c>
      <c r="D36" s="112">
        <v>0</v>
      </c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37"/>
      <c r="AG36" s="37"/>
      <c r="AH36" s="37"/>
      <c r="AI36" s="37"/>
      <c r="AJ36" s="37"/>
      <c r="AK36" s="37"/>
      <c r="AL36" s="37"/>
      <c r="AM36" s="89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</row>
    <row r="37" spans="1:63" s="68" customFormat="1" ht="25.95" customHeight="1" x14ac:dyDescent="0.25">
      <c r="A37" s="162" t="s">
        <v>37</v>
      </c>
      <c r="B37" s="171" t="s">
        <v>38</v>
      </c>
      <c r="C37" s="101" t="s">
        <v>39</v>
      </c>
      <c r="D37" s="102">
        <v>10</v>
      </c>
      <c r="E37" s="103"/>
      <c r="F37" s="17"/>
      <c r="G37" s="17" t="s">
        <v>39</v>
      </c>
      <c r="H37" s="17" t="s">
        <v>39</v>
      </c>
      <c r="I37" s="17" t="s">
        <v>39</v>
      </c>
      <c r="J37" s="17" t="s">
        <v>39</v>
      </c>
      <c r="K37" s="17"/>
      <c r="L37" s="17" t="s">
        <v>39</v>
      </c>
      <c r="M37" s="17" t="s">
        <v>39</v>
      </c>
      <c r="N37" s="17" t="s">
        <v>39</v>
      </c>
      <c r="O37" s="17" t="s">
        <v>39</v>
      </c>
      <c r="P37" s="17" t="s">
        <v>39</v>
      </c>
      <c r="Q37" s="17"/>
      <c r="R37" s="17" t="s">
        <v>39</v>
      </c>
      <c r="S37" s="17" t="s">
        <v>39</v>
      </c>
      <c r="T37" s="17" t="s">
        <v>39</v>
      </c>
      <c r="U37" s="17" t="s">
        <v>39</v>
      </c>
      <c r="V37" s="17" t="s">
        <v>39</v>
      </c>
      <c r="W37" s="17" t="s">
        <v>39</v>
      </c>
      <c r="X37" s="17" t="s">
        <v>39</v>
      </c>
      <c r="Y37" s="17" t="s">
        <v>39</v>
      </c>
      <c r="Z37" s="17" t="s">
        <v>39</v>
      </c>
      <c r="AA37" s="17" t="s">
        <v>39</v>
      </c>
      <c r="AB37" s="17"/>
      <c r="AC37" s="17" t="s">
        <v>39</v>
      </c>
      <c r="AD37" s="17"/>
      <c r="AE37" s="17" t="s">
        <v>39</v>
      </c>
      <c r="AF37" s="17" t="s">
        <v>39</v>
      </c>
      <c r="AG37" s="129" t="s">
        <v>39</v>
      </c>
      <c r="AH37" s="129" t="s">
        <v>39</v>
      </c>
      <c r="AI37" s="129" t="s">
        <v>39</v>
      </c>
      <c r="AJ37" s="129" t="s">
        <v>39</v>
      </c>
      <c r="AK37" s="129" t="s">
        <v>39</v>
      </c>
      <c r="AL37" s="129" t="s">
        <v>39</v>
      </c>
      <c r="AM37" s="89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</row>
    <row r="38" spans="1:63" s="68" customFormat="1" ht="27.6" customHeight="1" thickBot="1" x14ac:dyDescent="0.3">
      <c r="A38" s="164"/>
      <c r="B38" s="172"/>
      <c r="C38" s="111" t="s">
        <v>40</v>
      </c>
      <c r="D38" s="112">
        <v>0</v>
      </c>
      <c r="E38" s="113" t="s">
        <v>40</v>
      </c>
      <c r="F38" s="114" t="s">
        <v>40</v>
      </c>
      <c r="G38" s="114"/>
      <c r="H38" s="114"/>
      <c r="I38" s="114"/>
      <c r="J38" s="114"/>
      <c r="K38" s="114" t="s">
        <v>40</v>
      </c>
      <c r="L38" s="114"/>
      <c r="M38" s="114"/>
      <c r="N38" s="114"/>
      <c r="O38" s="114"/>
      <c r="P38" s="114"/>
      <c r="Q38" s="114" t="s">
        <v>40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 t="s">
        <v>40</v>
      </c>
      <c r="AE38" s="50"/>
      <c r="AF38" s="114"/>
      <c r="AG38" s="114"/>
      <c r="AH38" s="114"/>
      <c r="AI38" s="114"/>
      <c r="AJ38" s="114"/>
      <c r="AK38" s="114"/>
      <c r="AL38" s="114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</row>
    <row r="39" spans="1:63" s="68" customFormat="1" ht="31.95" customHeight="1" x14ac:dyDescent="0.25">
      <c r="A39" s="169" t="s">
        <v>41</v>
      </c>
      <c r="B39" s="171" t="s">
        <v>42</v>
      </c>
      <c r="C39" s="101" t="s">
        <v>39</v>
      </c>
      <c r="D39" s="102">
        <v>10</v>
      </c>
      <c r="E39" s="103"/>
      <c r="F39" s="17"/>
      <c r="G39" s="17"/>
      <c r="H39" s="17"/>
      <c r="I39" s="17" t="s">
        <v>39</v>
      </c>
      <c r="J39" s="17" t="s">
        <v>39</v>
      </c>
      <c r="K39" s="17" t="s">
        <v>39</v>
      </c>
      <c r="L39" s="17" t="s">
        <v>39</v>
      </c>
      <c r="M39" s="17" t="s">
        <v>39</v>
      </c>
      <c r="N39" s="17" t="s">
        <v>39</v>
      </c>
      <c r="O39" s="17" t="s">
        <v>39</v>
      </c>
      <c r="P39" s="17" t="s">
        <v>39</v>
      </c>
      <c r="Q39" s="17"/>
      <c r="R39" s="17" t="s">
        <v>39</v>
      </c>
      <c r="S39" s="17"/>
      <c r="T39" s="17" t="s">
        <v>39</v>
      </c>
      <c r="U39" s="17" t="s">
        <v>39</v>
      </c>
      <c r="V39" s="17" t="s">
        <v>39</v>
      </c>
      <c r="W39" s="17" t="s">
        <v>39</v>
      </c>
      <c r="X39" s="17" t="s">
        <v>39</v>
      </c>
      <c r="Y39" s="17" t="s">
        <v>39</v>
      </c>
      <c r="Z39" s="17" t="s">
        <v>39</v>
      </c>
      <c r="AA39" s="17" t="s">
        <v>39</v>
      </c>
      <c r="AB39" s="17"/>
      <c r="AC39" s="17" t="s">
        <v>39</v>
      </c>
      <c r="AD39" s="17" t="s">
        <v>39</v>
      </c>
      <c r="AE39" s="17" t="s">
        <v>39</v>
      </c>
      <c r="AF39" s="17"/>
      <c r="AG39" s="17"/>
      <c r="AH39" s="17" t="s">
        <v>39</v>
      </c>
      <c r="AI39" s="17"/>
      <c r="AJ39" s="17" t="s">
        <v>39</v>
      </c>
      <c r="AK39" s="17"/>
      <c r="AL39" s="17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</row>
    <row r="40" spans="1:63" s="68" customFormat="1" ht="31.95" customHeight="1" thickBot="1" x14ac:dyDescent="0.3">
      <c r="A40" s="170"/>
      <c r="B40" s="172"/>
      <c r="C40" s="111" t="s">
        <v>40</v>
      </c>
      <c r="D40" s="112">
        <v>0</v>
      </c>
      <c r="E40" s="113" t="s">
        <v>40</v>
      </c>
      <c r="F40" s="114" t="s">
        <v>40</v>
      </c>
      <c r="G40" s="114" t="s">
        <v>40</v>
      </c>
      <c r="H40" s="114" t="s">
        <v>40</v>
      </c>
      <c r="I40" s="114"/>
      <c r="J40" s="114"/>
      <c r="K40" s="114"/>
      <c r="L40" s="114"/>
      <c r="M40" s="114"/>
      <c r="N40" s="114"/>
      <c r="O40" s="114"/>
      <c r="P40" s="114"/>
      <c r="Q40" s="114" t="s">
        <v>40</v>
      </c>
      <c r="R40" s="114"/>
      <c r="S40" s="114" t="s">
        <v>40</v>
      </c>
      <c r="T40" s="114"/>
      <c r="U40" s="114"/>
      <c r="V40" s="114"/>
      <c r="W40" s="114"/>
      <c r="X40" s="114"/>
      <c r="Y40" s="114"/>
      <c r="Z40" s="114"/>
      <c r="AA40" s="114"/>
      <c r="AB40" s="114" t="s">
        <v>40</v>
      </c>
      <c r="AC40" s="114"/>
      <c r="AD40" s="114"/>
      <c r="AE40" s="114"/>
      <c r="AF40" s="114" t="s">
        <v>40</v>
      </c>
      <c r="AG40" s="37" t="s">
        <v>40</v>
      </c>
      <c r="AH40" s="37"/>
      <c r="AI40" s="37" t="s">
        <v>40</v>
      </c>
      <c r="AJ40" s="37"/>
      <c r="AK40" s="37" t="s">
        <v>40</v>
      </c>
      <c r="AL40" s="37" t="s">
        <v>40</v>
      </c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</row>
    <row r="41" spans="1:63" s="4" customFormat="1" ht="21" thickBot="1" x14ac:dyDescent="0.4">
      <c r="A41" s="98">
        <v>4</v>
      </c>
      <c r="B41" s="166" t="s">
        <v>43</v>
      </c>
      <c r="C41" s="166"/>
      <c r="D41" s="167"/>
      <c r="E41" s="15">
        <f>D42+D44+D46</f>
        <v>30</v>
      </c>
      <c r="F41" s="7">
        <f>D42+D44+D46</f>
        <v>30</v>
      </c>
      <c r="G41" s="6">
        <f>D42+D44+D46</f>
        <v>30</v>
      </c>
      <c r="H41" s="8">
        <f>D42+D44+D46</f>
        <v>30</v>
      </c>
      <c r="I41" s="9">
        <f>D42+D44+D47</f>
        <v>25</v>
      </c>
      <c r="J41" s="6">
        <f>D42+D44+D47</f>
        <v>25</v>
      </c>
      <c r="K41" s="10">
        <f>D42+D44+D46</f>
        <v>30</v>
      </c>
      <c r="L41" s="11">
        <f>D42+D44+D46</f>
        <v>30</v>
      </c>
      <c r="M41" s="8">
        <f>D42+D44+D46</f>
        <v>30</v>
      </c>
      <c r="N41" s="125">
        <f>D42+D44+D46</f>
        <v>30</v>
      </c>
      <c r="O41" s="126">
        <f>D42+D44+D46</f>
        <v>30</v>
      </c>
      <c r="P41" s="10">
        <f>D42+D44+D46</f>
        <v>30</v>
      </c>
      <c r="Q41" s="10">
        <f>D42+D44+D46</f>
        <v>30</v>
      </c>
      <c r="R41" s="11">
        <f>D42+D44+D46</f>
        <v>30</v>
      </c>
      <c r="S41" s="12">
        <f>D42+D45+D46</f>
        <v>20</v>
      </c>
      <c r="T41" s="11">
        <f>D42+D44+D46</f>
        <v>30</v>
      </c>
      <c r="U41" s="8">
        <f>D42+D44+D46</f>
        <v>30</v>
      </c>
      <c r="V41" s="136">
        <f>D42+D44+D46</f>
        <v>30</v>
      </c>
      <c r="W41" s="6">
        <f>D42+D44+D46</f>
        <v>30</v>
      </c>
      <c r="X41" s="8">
        <f>D42+D44+D46</f>
        <v>30</v>
      </c>
      <c r="Y41" s="11">
        <f>D43+D44+D47</f>
        <v>15</v>
      </c>
      <c r="Z41" s="10">
        <f>D42+D44+D47</f>
        <v>25</v>
      </c>
      <c r="AA41" s="6">
        <f>D42+D44+D46</f>
        <v>30</v>
      </c>
      <c r="AB41" s="136">
        <f>D43+D44+D47</f>
        <v>15</v>
      </c>
      <c r="AC41" s="8">
        <f>D43+D44+D47</f>
        <v>15</v>
      </c>
      <c r="AD41" s="11">
        <f>D42+D44+D46</f>
        <v>30</v>
      </c>
      <c r="AE41" s="136">
        <f>D42+D45+D47</f>
        <v>15</v>
      </c>
      <c r="AF41" s="8">
        <f>D42+D45+D46</f>
        <v>20</v>
      </c>
      <c r="AG41" s="136">
        <f>D42+D45+D46</f>
        <v>20</v>
      </c>
      <c r="AH41" s="11">
        <f>D42+D45+D46</f>
        <v>20</v>
      </c>
      <c r="AI41" s="8">
        <f>D42+D45+D46</f>
        <v>20</v>
      </c>
      <c r="AJ41" s="11">
        <f>D42+D45+D46</f>
        <v>20</v>
      </c>
      <c r="AK41" s="127">
        <f>D42+D45+D46</f>
        <v>20</v>
      </c>
      <c r="AL41" s="128">
        <f>D42+D45+D46</f>
        <v>20</v>
      </c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</row>
    <row r="42" spans="1:63" s="68" customFormat="1" ht="46.8" x14ac:dyDescent="0.25">
      <c r="A42" s="162" t="s">
        <v>44</v>
      </c>
      <c r="B42" s="171" t="s">
        <v>106</v>
      </c>
      <c r="C42" s="101" t="s">
        <v>45</v>
      </c>
      <c r="D42" s="102">
        <v>10</v>
      </c>
      <c r="E42" s="103" t="s">
        <v>36</v>
      </c>
      <c r="F42" s="17" t="s">
        <v>36</v>
      </c>
      <c r="G42" s="17" t="s">
        <v>36</v>
      </c>
      <c r="H42" s="17" t="s">
        <v>36</v>
      </c>
      <c r="I42" s="17" t="s">
        <v>36</v>
      </c>
      <c r="J42" s="17" t="s">
        <v>36</v>
      </c>
      <c r="K42" s="17" t="s">
        <v>36</v>
      </c>
      <c r="L42" s="132" t="s">
        <v>36</v>
      </c>
      <c r="M42" s="132" t="s">
        <v>36</v>
      </c>
      <c r="N42" s="132" t="s">
        <v>36</v>
      </c>
      <c r="O42" s="132" t="s">
        <v>36</v>
      </c>
      <c r="P42" s="132" t="s">
        <v>36</v>
      </c>
      <c r="Q42" s="132" t="s">
        <v>36</v>
      </c>
      <c r="R42" s="132" t="s">
        <v>36</v>
      </c>
      <c r="S42" s="132" t="s">
        <v>36</v>
      </c>
      <c r="T42" s="132" t="s">
        <v>36</v>
      </c>
      <c r="U42" s="132" t="s">
        <v>36</v>
      </c>
      <c r="V42" s="132" t="s">
        <v>36</v>
      </c>
      <c r="W42" s="132" t="s">
        <v>36</v>
      </c>
      <c r="X42" s="132" t="s">
        <v>36</v>
      </c>
      <c r="Y42" s="132"/>
      <c r="Z42" s="132" t="s">
        <v>36</v>
      </c>
      <c r="AA42" s="132" t="s">
        <v>36</v>
      </c>
      <c r="AB42" s="132"/>
      <c r="AC42" s="132"/>
      <c r="AD42" s="132" t="s">
        <v>36</v>
      </c>
      <c r="AE42" s="132" t="s">
        <v>36</v>
      </c>
      <c r="AF42" s="132" t="s">
        <v>36</v>
      </c>
      <c r="AG42" s="132" t="s">
        <v>36</v>
      </c>
      <c r="AH42" s="132" t="s">
        <v>36</v>
      </c>
      <c r="AI42" s="132" t="s">
        <v>36</v>
      </c>
      <c r="AJ42" s="132" t="s">
        <v>36</v>
      </c>
      <c r="AK42" s="132" t="s">
        <v>36</v>
      </c>
      <c r="AL42" s="132" t="s">
        <v>36</v>
      </c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</row>
    <row r="43" spans="1:63" s="68" customFormat="1" ht="47.4" thickBot="1" x14ac:dyDescent="0.3">
      <c r="A43" s="164"/>
      <c r="B43" s="172"/>
      <c r="C43" s="111" t="s">
        <v>46</v>
      </c>
      <c r="D43" s="112">
        <v>0</v>
      </c>
      <c r="E43" s="113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 t="s">
        <v>28</v>
      </c>
      <c r="Z43" s="114"/>
      <c r="AA43" s="114"/>
      <c r="AB43" s="114" t="s">
        <v>28</v>
      </c>
      <c r="AC43" s="114" t="s">
        <v>28</v>
      </c>
      <c r="AD43" s="114"/>
      <c r="AE43" s="114"/>
      <c r="AF43" s="114"/>
      <c r="AG43" s="114"/>
      <c r="AH43" s="114"/>
      <c r="AI43" s="114"/>
      <c r="AJ43" s="114"/>
      <c r="AK43" s="114"/>
      <c r="AL43" s="11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</row>
    <row r="44" spans="1:63" s="68" customFormat="1" ht="78" x14ac:dyDescent="0.25">
      <c r="A44" s="162" t="s">
        <v>47</v>
      </c>
      <c r="B44" s="171" t="s">
        <v>107</v>
      </c>
      <c r="C44" s="101" t="s">
        <v>48</v>
      </c>
      <c r="D44" s="102">
        <v>10</v>
      </c>
      <c r="E44" s="103" t="s">
        <v>36</v>
      </c>
      <c r="F44" s="17" t="s">
        <v>36</v>
      </c>
      <c r="G44" s="17" t="s">
        <v>36</v>
      </c>
      <c r="H44" s="17" t="s">
        <v>36</v>
      </c>
      <c r="I44" s="17" t="s">
        <v>36</v>
      </c>
      <c r="J44" s="17" t="s">
        <v>36</v>
      </c>
      <c r="K44" s="17" t="s">
        <v>36</v>
      </c>
      <c r="L44" s="17" t="s">
        <v>36</v>
      </c>
      <c r="M44" s="17" t="s">
        <v>36</v>
      </c>
      <c r="N44" s="17" t="s">
        <v>36</v>
      </c>
      <c r="O44" s="17" t="s">
        <v>36</v>
      </c>
      <c r="P44" s="17" t="s">
        <v>36</v>
      </c>
      <c r="Q44" s="17" t="s">
        <v>36</v>
      </c>
      <c r="R44" s="17" t="s">
        <v>36</v>
      </c>
      <c r="S44" s="17"/>
      <c r="T44" s="17" t="s">
        <v>36</v>
      </c>
      <c r="U44" s="17" t="s">
        <v>36</v>
      </c>
      <c r="V44" s="17" t="s">
        <v>36</v>
      </c>
      <c r="W44" s="17" t="s">
        <v>36</v>
      </c>
      <c r="X44" s="17" t="s">
        <v>36</v>
      </c>
      <c r="Y44" s="17" t="s">
        <v>36</v>
      </c>
      <c r="Z44" s="17" t="s">
        <v>36</v>
      </c>
      <c r="AA44" s="17" t="s">
        <v>36</v>
      </c>
      <c r="AB44" s="17" t="s">
        <v>36</v>
      </c>
      <c r="AC44" s="17" t="s">
        <v>36</v>
      </c>
      <c r="AD44" s="17" t="s">
        <v>36</v>
      </c>
      <c r="AE44" s="17"/>
      <c r="AF44" s="17"/>
      <c r="AG44" s="129"/>
      <c r="AH44" s="129"/>
      <c r="AI44" s="129"/>
      <c r="AJ44" s="129"/>
      <c r="AK44" s="129"/>
      <c r="AL44" s="129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</row>
    <row r="45" spans="1:63" s="68" customFormat="1" ht="94.2" thickBot="1" x14ac:dyDescent="0.3">
      <c r="A45" s="164"/>
      <c r="B45" s="172"/>
      <c r="C45" s="111" t="s">
        <v>49</v>
      </c>
      <c r="D45" s="112">
        <v>0</v>
      </c>
      <c r="E45" s="113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 t="s">
        <v>28</v>
      </c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 t="s">
        <v>28</v>
      </c>
      <c r="AG45" s="114" t="s">
        <v>28</v>
      </c>
      <c r="AH45" s="114" t="s">
        <v>28</v>
      </c>
      <c r="AI45" s="114" t="s">
        <v>28</v>
      </c>
      <c r="AJ45" s="114" t="s">
        <v>28</v>
      </c>
      <c r="AK45" s="114" t="s">
        <v>28</v>
      </c>
      <c r="AL45" s="114" t="s">
        <v>28</v>
      </c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</row>
    <row r="46" spans="1:63" s="68" customFormat="1" ht="141.6" customHeight="1" thickBot="1" x14ac:dyDescent="0.3">
      <c r="A46" s="169">
        <v>4.3</v>
      </c>
      <c r="B46" s="171" t="s">
        <v>108</v>
      </c>
      <c r="C46" s="101" t="s">
        <v>50</v>
      </c>
      <c r="D46" s="102">
        <v>10</v>
      </c>
      <c r="E46" s="103" t="s">
        <v>36</v>
      </c>
      <c r="F46" s="17" t="s">
        <v>36</v>
      </c>
      <c r="G46" s="17" t="s">
        <v>36</v>
      </c>
      <c r="H46" s="17" t="s">
        <v>36</v>
      </c>
      <c r="I46" s="17"/>
      <c r="J46" s="17"/>
      <c r="K46" s="17" t="s">
        <v>36</v>
      </c>
      <c r="L46" s="17" t="s">
        <v>36</v>
      </c>
      <c r="M46" s="17" t="s">
        <v>36</v>
      </c>
      <c r="N46" s="17" t="s">
        <v>36</v>
      </c>
      <c r="O46" s="17" t="s">
        <v>36</v>
      </c>
      <c r="P46" s="17" t="s">
        <v>36</v>
      </c>
      <c r="Q46" s="17" t="s">
        <v>36</v>
      </c>
      <c r="R46" s="17" t="s">
        <v>36</v>
      </c>
      <c r="S46" s="17" t="s">
        <v>36</v>
      </c>
      <c r="T46" s="17" t="s">
        <v>36</v>
      </c>
      <c r="U46" s="17" t="s">
        <v>36</v>
      </c>
      <c r="V46" s="108" t="s">
        <v>36</v>
      </c>
      <c r="W46" s="17" t="s">
        <v>36</v>
      </c>
      <c r="X46" s="17" t="s">
        <v>36</v>
      </c>
      <c r="Y46" s="17"/>
      <c r="Z46" s="17"/>
      <c r="AA46" s="17" t="s">
        <v>36</v>
      </c>
      <c r="AB46" s="17"/>
      <c r="AC46" s="17"/>
      <c r="AD46" s="17" t="s">
        <v>36</v>
      </c>
      <c r="AE46" s="17"/>
      <c r="AF46" s="17" t="s">
        <v>36</v>
      </c>
      <c r="AG46" s="17" t="s">
        <v>36</v>
      </c>
      <c r="AH46" s="17" t="s">
        <v>36</v>
      </c>
      <c r="AI46" s="17" t="s">
        <v>36</v>
      </c>
      <c r="AJ46" s="17" t="s">
        <v>36</v>
      </c>
      <c r="AK46" s="17" t="s">
        <v>36</v>
      </c>
      <c r="AL46" s="17" t="s">
        <v>36</v>
      </c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</row>
    <row r="47" spans="1:63" s="68" customFormat="1" ht="158.4" customHeight="1" x14ac:dyDescent="0.25">
      <c r="A47" s="176"/>
      <c r="B47" s="177"/>
      <c r="C47" s="105" t="s">
        <v>51</v>
      </c>
      <c r="D47" s="106">
        <v>5</v>
      </c>
      <c r="E47" s="107"/>
      <c r="F47" s="108"/>
      <c r="G47" s="108"/>
      <c r="H47" s="67"/>
      <c r="I47" s="108" t="s">
        <v>36</v>
      </c>
      <c r="J47" s="108" t="s">
        <v>27</v>
      </c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38"/>
      <c r="W47" s="108"/>
      <c r="X47" s="108"/>
      <c r="Y47" s="17" t="s">
        <v>36</v>
      </c>
      <c r="Z47" s="17" t="s">
        <v>36</v>
      </c>
      <c r="AA47" s="108"/>
      <c r="AB47" s="108" t="s">
        <v>36</v>
      </c>
      <c r="AC47" s="108" t="s">
        <v>36</v>
      </c>
      <c r="AD47" s="108" t="s">
        <v>36</v>
      </c>
      <c r="AE47" s="108" t="s">
        <v>36</v>
      </c>
      <c r="AF47" s="108"/>
      <c r="AG47" s="110"/>
      <c r="AH47" s="110"/>
      <c r="AI47" s="110"/>
      <c r="AJ47" s="110"/>
      <c r="AK47" s="110"/>
      <c r="AL47" s="110"/>
      <c r="AM47" s="89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</row>
    <row r="48" spans="1:63" s="68" customFormat="1" ht="99" customHeight="1" thickBot="1" x14ac:dyDescent="0.3">
      <c r="A48" s="170"/>
      <c r="B48" s="172"/>
      <c r="C48" s="111" t="s">
        <v>52</v>
      </c>
      <c r="D48" s="112">
        <v>0</v>
      </c>
      <c r="E48" s="113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 t="s">
        <v>28</v>
      </c>
      <c r="AB48" s="114"/>
      <c r="AC48" s="114"/>
      <c r="AD48" s="114"/>
      <c r="AE48" s="114"/>
      <c r="AF48" s="37"/>
      <c r="AG48" s="37"/>
      <c r="AH48" s="37"/>
      <c r="AI48" s="37"/>
      <c r="AJ48" s="37"/>
      <c r="AK48" s="37"/>
      <c r="AL48" s="37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</row>
    <row r="49" spans="1:63" s="4" customFormat="1" ht="25.2" thickBot="1" x14ac:dyDescent="0.4">
      <c r="A49" s="139"/>
      <c r="B49" s="173" t="s">
        <v>53</v>
      </c>
      <c r="C49" s="173"/>
      <c r="D49" s="174"/>
      <c r="E49" s="16">
        <f>E5+E21+E30+E41</f>
        <v>98</v>
      </c>
      <c r="F49" s="14">
        <f>F5+F21+F30+F41</f>
        <v>98</v>
      </c>
      <c r="G49" s="13">
        <f t="shared" ref="G49:AE49" si="0">G5+G21+G30+G41</f>
        <v>87</v>
      </c>
      <c r="H49" s="31">
        <f t="shared" si="0"/>
        <v>92</v>
      </c>
      <c r="I49" s="140">
        <f>I5+I21+I30+I41</f>
        <v>110</v>
      </c>
      <c r="J49" s="13">
        <f>J5+J21+J30+J41</f>
        <v>95</v>
      </c>
      <c r="K49" s="141">
        <f t="shared" si="0"/>
        <v>105</v>
      </c>
      <c r="L49" s="40">
        <f t="shared" si="0"/>
        <v>109</v>
      </c>
      <c r="M49" s="31">
        <f t="shared" si="0"/>
        <v>116</v>
      </c>
      <c r="N49" s="13">
        <f>N5+N21+N30+N41</f>
        <v>117</v>
      </c>
      <c r="O49" s="142">
        <f t="shared" si="0"/>
        <v>110</v>
      </c>
      <c r="P49" s="141">
        <f>P5+P21+P30+P41</f>
        <v>105</v>
      </c>
      <c r="Q49" s="40">
        <f t="shared" si="0"/>
        <v>80</v>
      </c>
      <c r="R49" s="40">
        <f t="shared" si="0"/>
        <v>111</v>
      </c>
      <c r="S49" s="143">
        <f t="shared" si="0"/>
        <v>76</v>
      </c>
      <c r="T49" s="40">
        <f t="shared" si="0"/>
        <v>111</v>
      </c>
      <c r="U49" s="31">
        <f t="shared" si="0"/>
        <v>111</v>
      </c>
      <c r="V49" s="141">
        <f>V5+V21+V30+V41</f>
        <v>100</v>
      </c>
      <c r="W49" s="13">
        <f>W5+W21+W30+W41</f>
        <v>126</v>
      </c>
      <c r="X49" s="31">
        <f t="shared" si="0"/>
        <v>120</v>
      </c>
      <c r="Y49" s="40">
        <f>Y5+Y21+Y30+Y41</f>
        <v>80</v>
      </c>
      <c r="Z49" s="39">
        <f t="shared" si="0"/>
        <v>110</v>
      </c>
      <c r="AA49" s="13">
        <f t="shared" si="0"/>
        <v>102</v>
      </c>
      <c r="AB49" s="39">
        <f t="shared" si="0"/>
        <v>85</v>
      </c>
      <c r="AC49" s="31">
        <f t="shared" si="0"/>
        <v>70</v>
      </c>
      <c r="AD49" s="40">
        <f t="shared" si="0"/>
        <v>106</v>
      </c>
      <c r="AE49" s="39">
        <f t="shared" si="0"/>
        <v>94</v>
      </c>
      <c r="AF49" s="38">
        <f>AF5+AF21+AF30+AF41</f>
        <v>98</v>
      </c>
      <c r="AG49" s="38">
        <f>AG5+AG21+AG30+AG41</f>
        <v>69</v>
      </c>
      <c r="AH49" s="38">
        <f>AH5+AH21+AH30+AH41</f>
        <v>81</v>
      </c>
      <c r="AI49" s="38">
        <f t="shared" ref="AI49:AL49" si="1">AI5+AI21+AI30+AI41</f>
        <v>69</v>
      </c>
      <c r="AJ49" s="38">
        <f t="shared" si="1"/>
        <v>85</v>
      </c>
      <c r="AK49" s="38">
        <f t="shared" si="1"/>
        <v>80</v>
      </c>
      <c r="AL49" s="144">
        <f t="shared" si="1"/>
        <v>70</v>
      </c>
      <c r="AM49" s="99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</row>
    <row r="50" spans="1:63" s="32" customFormat="1" ht="35.4" thickBot="1" x14ac:dyDescent="0.35">
      <c r="A50" s="145"/>
      <c r="B50" s="146" t="s">
        <v>54</v>
      </c>
      <c r="C50" s="147"/>
      <c r="D50" s="148"/>
      <c r="E50" s="36"/>
      <c r="F50" s="33"/>
      <c r="G50" s="33"/>
      <c r="H50" s="33"/>
      <c r="I50" s="33"/>
      <c r="J50" s="33"/>
      <c r="K50" s="33"/>
      <c r="L50" s="33"/>
      <c r="M50" s="33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5"/>
      <c r="AM50" s="149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</row>
    <row r="51" spans="1:63" x14ac:dyDescent="0.35">
      <c r="I51" s="155"/>
      <c r="J51" s="155"/>
      <c r="P51" s="154"/>
      <c r="R51" s="154"/>
      <c r="S51" s="154"/>
      <c r="T51" s="154"/>
      <c r="U51" s="154"/>
      <c r="V51" s="156"/>
      <c r="Z51" s="157"/>
    </row>
  </sheetData>
  <customSheetViews>
    <customSheetView guid="{1C8297EA-FBDC-4B6C-A030-80671E805CF7}" scale="70">
      <pane xSplit="4" ySplit="3" topLeftCell="Z41" activePane="bottomRight" state="frozen"/>
      <selection pane="bottomRight" activeCell="AB42" sqref="AB42"/>
      <pageMargins left="0.7" right="0.7" top="0.75" bottom="0.75" header="0.3" footer="0.3"/>
      <pageSetup paperSize="9" orientation="portrait" r:id="rId1"/>
    </customSheetView>
    <customSheetView guid="{BB88F7DE-0D85-4EBA-95A2-F55DB45D50E4}" scale="70">
      <pane xSplit="4" ySplit="3" topLeftCell="AB28" activePane="bottomRight" state="frozen"/>
      <selection pane="bottomRight" activeCell="AB51" sqref="AB51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7818ED01-037A-421C-8C05-EEF4926917A5}" scale="75">
      <pane xSplit="4" ySplit="3" topLeftCell="E46" activePane="bottomRight" state="frozen"/>
      <selection pane="bottomRight" activeCell="J57" sqref="J57"/>
      <pageMargins left="0.7" right="0.7" top="0.75" bottom="0.75" header="0.3" footer="0.3"/>
      <pageSetup paperSize="9" orientation="portrait" r:id="rId3"/>
    </customSheetView>
    <customSheetView guid="{B8DE4105-2838-41CE-A85E-DA5ECFB9F35F}" scale="70">
      <pane xSplit="4" ySplit="3" topLeftCell="V5" activePane="bottomRight" state="frozen"/>
      <selection pane="bottomRight" activeCell="AD22" sqref="AD22"/>
      <pageMargins left="0.7" right="0.7" top="0.75" bottom="0.75" header="0.3" footer="0.3"/>
      <pageSetup paperSize="9" orientation="portrait" r:id="rId4"/>
    </customSheetView>
    <customSheetView guid="{C4AB6BA3-F374-4F40-B226-67EE33D5A553}" scale="75">
      <pane xSplit="4" ySplit="3" topLeftCell="E52" activePane="bottomRight" state="frozen"/>
      <selection pane="bottomRight" activeCell="E41" sqref="E41"/>
      <pageMargins left="0.7" right="0.7" top="0.75" bottom="0.75" header="0.3" footer="0.3"/>
      <pageSetup paperSize="9" orientation="portrait" r:id="rId5"/>
    </customSheetView>
  </customSheetViews>
  <mergeCells count="67">
    <mergeCell ref="AI2:AI3"/>
    <mergeCell ref="AJ2:AJ3"/>
    <mergeCell ref="AL2:AL3"/>
    <mergeCell ref="Z2:Z3"/>
    <mergeCell ref="AF2:AF3"/>
    <mergeCell ref="AC2:AC3"/>
    <mergeCell ref="AD2:AD3"/>
    <mergeCell ref="AA2:AA3"/>
    <mergeCell ref="AB2:AB3"/>
    <mergeCell ref="AE2:AE3"/>
    <mergeCell ref="AG2:AG3"/>
    <mergeCell ref="AH2:AH3"/>
    <mergeCell ref="AK2:AK3"/>
    <mergeCell ref="B41:D41"/>
    <mergeCell ref="B30:D30"/>
    <mergeCell ref="F2:F3"/>
    <mergeCell ref="G2:G3"/>
    <mergeCell ref="K2:K3"/>
    <mergeCell ref="B2:B3"/>
    <mergeCell ref="B6:B10"/>
    <mergeCell ref="B11:B14"/>
    <mergeCell ref="B15:B20"/>
    <mergeCell ref="B22:B27"/>
    <mergeCell ref="B31:B34"/>
    <mergeCell ref="B35:B36"/>
    <mergeCell ref="J2:J3"/>
    <mergeCell ref="B49:D49"/>
    <mergeCell ref="E2:E3"/>
    <mergeCell ref="H2:H3"/>
    <mergeCell ref="I2:I3"/>
    <mergeCell ref="A42:A43"/>
    <mergeCell ref="B42:B43"/>
    <mergeCell ref="A44:A45"/>
    <mergeCell ref="B44:B45"/>
    <mergeCell ref="A46:A48"/>
    <mergeCell ref="B46:B48"/>
    <mergeCell ref="A31:A34"/>
    <mergeCell ref="A35:A36"/>
    <mergeCell ref="A37:A38"/>
    <mergeCell ref="B37:B38"/>
    <mergeCell ref="A39:A40"/>
    <mergeCell ref="B39:B40"/>
    <mergeCell ref="A15:A20"/>
    <mergeCell ref="B21:D21"/>
    <mergeCell ref="A22:A27"/>
    <mergeCell ref="A28:A29"/>
    <mergeCell ref="B28:B29"/>
    <mergeCell ref="A11:A14"/>
    <mergeCell ref="A2:A3"/>
    <mergeCell ref="C2:C3"/>
    <mergeCell ref="D2:D3"/>
    <mergeCell ref="B5:D5"/>
    <mergeCell ref="A6:A10"/>
    <mergeCell ref="Y2:Y3"/>
    <mergeCell ref="X2:X3"/>
    <mergeCell ref="V2:V3"/>
    <mergeCell ref="Q2:Q3"/>
    <mergeCell ref="L2:L3"/>
    <mergeCell ref="W2:W3"/>
    <mergeCell ref="R2:R3"/>
    <mergeCell ref="S2:S3"/>
    <mergeCell ref="T2:T3"/>
    <mergeCell ref="U2:U3"/>
    <mergeCell ref="P2:P3"/>
    <mergeCell ref="N2:N3"/>
    <mergeCell ref="O2:O3"/>
    <mergeCell ref="M2:M3"/>
  </mergeCells>
  <pageMargins left="0.23622047244094491" right="0.23622047244094491" top="0.74803149606299213" bottom="0.74803149606299213" header="0.31496062992125984" footer="0.31496062992125984"/>
  <pageSetup paperSize="9" scale="30" orientation="portrait" r:id="rId6"/>
  <colBreaks count="2" manualBreakCount="2">
    <brk id="14" max="49" man="1"/>
    <brk id="26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8"/>
  <sheetViews>
    <sheetView view="pageBreakPreview" zoomScale="75" zoomScaleNormal="100" zoomScaleSheetLayoutView="75" workbookViewId="0">
      <selection activeCell="H3" sqref="H3:H4"/>
    </sheetView>
  </sheetViews>
  <sheetFormatPr defaultRowHeight="14.4" x14ac:dyDescent="0.3"/>
  <cols>
    <col min="1" max="1" width="7.77734375" style="2" customWidth="1"/>
    <col min="2" max="2" width="82.109375" style="20" customWidth="1"/>
    <col min="3" max="3" width="23.44140625" style="18" customWidth="1"/>
    <col min="4" max="4" width="9.44140625" style="18" customWidth="1"/>
  </cols>
  <sheetData>
    <row r="1" spans="1:4" ht="25.8" customHeight="1" x14ac:dyDescent="0.3">
      <c r="A1" s="181" t="s">
        <v>61</v>
      </c>
      <c r="B1" s="181"/>
      <c r="C1" s="181"/>
      <c r="D1" s="181"/>
    </row>
    <row r="2" spans="1:4" ht="17.399999999999999" x14ac:dyDescent="0.3">
      <c r="A2" s="52" t="s">
        <v>0</v>
      </c>
      <c r="B2" s="53" t="s">
        <v>59</v>
      </c>
      <c r="C2" s="53" t="s">
        <v>111</v>
      </c>
      <c r="D2" s="52" t="s">
        <v>60</v>
      </c>
    </row>
    <row r="3" spans="1:4" ht="23.4" customHeight="1" x14ac:dyDescent="0.3">
      <c r="A3" s="54">
        <v>1</v>
      </c>
      <c r="B3" s="55" t="str">
        <f>'Критерии 2019'!$W$2</f>
        <v xml:space="preserve">Арт-локация  "Я люблю Лемпино"
</v>
      </c>
      <c r="C3" s="56" t="str">
        <f>'Критерии 2019'!$W$1</f>
        <v>с.п. Лемпино</v>
      </c>
      <c r="D3" s="57">
        <f>'Критерии 2019'!$W$49</f>
        <v>126</v>
      </c>
    </row>
    <row r="4" spans="1:4" ht="18" x14ac:dyDescent="0.3">
      <c r="A4" s="54">
        <v>2</v>
      </c>
      <c r="B4" s="55" t="str">
        <f>'Критерии 2019'!$X$2</f>
        <v>"Детская игровая площадка на Солнечной"</v>
      </c>
      <c r="C4" s="56" t="str">
        <f>'Критерии 2019'!$X$1</f>
        <v>с.п. Лемпино</v>
      </c>
      <c r="D4" s="57">
        <f>'Критерии 2019'!$X$49</f>
        <v>120</v>
      </c>
    </row>
    <row r="5" spans="1:4" ht="18" x14ac:dyDescent="0.3">
      <c r="A5" s="54">
        <v>3</v>
      </c>
      <c r="B5" s="55" t="str">
        <f>'Критерии 2019'!$N$2</f>
        <v>"Устройство скейт-парка"</v>
      </c>
      <c r="C5" s="56" t="str">
        <f>'Критерии 2019'!$N$1</f>
        <v>с.п. Сингапай</v>
      </c>
      <c r="D5" s="57">
        <f>'Критерии 2019'!$N$49</f>
        <v>117</v>
      </c>
    </row>
    <row r="6" spans="1:4" ht="18" x14ac:dyDescent="0.3">
      <c r="A6" s="54">
        <v>4</v>
      </c>
      <c r="B6" s="58" t="str">
        <f>'Критерии 2019'!$M$2</f>
        <v>Обустройство площадки "Сенсорный сад-пяти чувств"</v>
      </c>
      <c r="C6" s="56" t="str">
        <f>'Критерии 2019'!$M$1</f>
        <v>с.п. Сингапай</v>
      </c>
      <c r="D6" s="57">
        <f>'Критерии 2019'!$M$49</f>
        <v>116</v>
      </c>
    </row>
    <row r="7" spans="1:4" ht="18" x14ac:dyDescent="0.3">
      <c r="A7" s="54">
        <v>5</v>
      </c>
      <c r="B7" s="59" t="str">
        <f>'Критерии 2019'!$R$2</f>
        <v xml:space="preserve">"Наш дом"   Ограждение домов по ул. Круг Б-3 д. 37,38,39 </v>
      </c>
      <c r="C7" s="56" t="str">
        <f>'Критерии 2019'!$R$1</f>
        <v>с.п. Сингапай</v>
      </c>
      <c r="D7" s="57">
        <f>'Критерии 2019'!$R$49</f>
        <v>111</v>
      </c>
    </row>
    <row r="8" spans="1:4" ht="36" x14ac:dyDescent="0.3">
      <c r="A8" s="54">
        <v>6</v>
      </c>
      <c r="B8" s="59" t="str">
        <f>'Критерии 2019'!$T$2</f>
        <v xml:space="preserve">"Мой дом – моя крепость"    Ограждение домов № 44,45,46 по ул. Круг В-1 </v>
      </c>
      <c r="C8" s="56" t="str">
        <f>'Критерии 2019'!$T$1</f>
        <v>с.п. Сингапай</v>
      </c>
      <c r="D8" s="57">
        <f>'Критерии 2019'!$T$49</f>
        <v>111</v>
      </c>
    </row>
    <row r="9" spans="1:4" ht="18" x14ac:dyDescent="0.3">
      <c r="A9" s="54">
        <v>7</v>
      </c>
      <c r="B9" s="59" t="str">
        <f>'Критерии 2019'!$U$2</f>
        <v xml:space="preserve">«Заборчик»  Ограждение домов по ул. Круг Б-3 д. 36, 40, 43 </v>
      </c>
      <c r="C9" s="56" t="str">
        <f>'Критерии 2019'!$U$1</f>
        <v>с.п. Сингапай</v>
      </c>
      <c r="D9" s="57">
        <f>'Критерии 2019'!$U$49</f>
        <v>111</v>
      </c>
    </row>
    <row r="10" spans="1:4" ht="18" x14ac:dyDescent="0.3">
      <c r="A10" s="54">
        <v>8</v>
      </c>
      <c r="B10" s="55" t="str">
        <f>'Критерии 2019'!$I$2</f>
        <v>"Уютный двор - красивая Россия"</v>
      </c>
      <c r="C10" s="56" t="str">
        <f>'Критерии 2019'!$I$1</f>
        <v>с.п. Сентябрьский</v>
      </c>
      <c r="D10" s="57">
        <f>'Критерии 2019'!$I$49</f>
        <v>110</v>
      </c>
    </row>
    <row r="11" spans="1:4" ht="36" x14ac:dyDescent="0.3">
      <c r="A11" s="54">
        <v>9</v>
      </c>
      <c r="B11" s="59" t="str">
        <f>'Критерии 2019'!$O$2</f>
        <v>"Уютный сквер у дома"      Обустройство придомовой территории д. 56 по ул. Круг В-1</v>
      </c>
      <c r="C11" s="56" t="str">
        <f>'Критерии 2019'!$O$1</f>
        <v>с.п. Сингапай</v>
      </c>
      <c r="D11" s="57">
        <f>'Критерии 2019'!$O$49</f>
        <v>110</v>
      </c>
    </row>
    <row r="12" spans="1:4" ht="36" x14ac:dyDescent="0.3">
      <c r="A12" s="54">
        <v>10</v>
      </c>
      <c r="B12" s="55" t="str">
        <f>'Критерии 2019'!$Z$2</f>
        <v xml:space="preserve">"Устройство ливневого водоотвода автомобильной дороги по ул. Северная" </v>
      </c>
      <c r="C12" s="56" t="str">
        <f>'Критерии 2019'!$Z$1</f>
        <v>с.п. Салым</v>
      </c>
      <c r="D12" s="57">
        <f>'Критерии 2019'!$Z$49</f>
        <v>110</v>
      </c>
    </row>
    <row r="13" spans="1:4" ht="18" x14ac:dyDescent="0.3">
      <c r="A13" s="54">
        <v>11</v>
      </c>
      <c r="B13" s="59" t="str">
        <f>'Критерии 2019'!$L$2</f>
        <v>"Дворик на Садовой"</v>
      </c>
      <c r="C13" s="56" t="str">
        <f>'Критерии 2019'!$L$1</f>
        <v>с.п. Каркатеевы</v>
      </c>
      <c r="D13" s="57">
        <f>'Критерии 2019'!$L$49</f>
        <v>109</v>
      </c>
    </row>
    <row r="14" spans="1:4" ht="18" x14ac:dyDescent="0.3">
      <c r="A14" s="54">
        <v>12</v>
      </c>
      <c r="B14" s="59" t="str">
        <f>'Критерии 2019'!$AD$2</f>
        <v>"Устройство "сухого" фонтана на территории Солнечного сквера"</v>
      </c>
      <c r="C14" s="56" t="str">
        <f>'Критерии 2019'!$AD$1</f>
        <v>с.п. Салым</v>
      </c>
      <c r="D14" s="57">
        <f>'Критерии 2019'!$AD$49</f>
        <v>106</v>
      </c>
    </row>
    <row r="15" spans="1:4" ht="18" x14ac:dyDescent="0.3">
      <c r="A15" s="54">
        <v>13</v>
      </c>
      <c r="B15" s="55" t="str">
        <f>'Критерии 2019'!$K$2</f>
        <v>"Благоустройство кладбища"</v>
      </c>
      <c r="C15" s="56" t="str">
        <f>'Критерии 2019'!$K$1</f>
        <v>с.п. Усть-Юган</v>
      </c>
      <c r="D15" s="57">
        <f>'Критерии 2019'!$K$49</f>
        <v>105</v>
      </c>
    </row>
    <row r="16" spans="1:4" ht="36" x14ac:dyDescent="0.3">
      <c r="A16" s="54">
        <v>14</v>
      </c>
      <c r="B16" s="59" t="str">
        <f>'Критерии 2019'!$P$2</f>
        <v xml:space="preserve">"В гостях хорошо, а дома лучше" Благоустройство придомовой территории д. № 47 по ул. Круг В-1 </v>
      </c>
      <c r="C16" s="56" t="str">
        <f>'Критерии 2019'!$P$1</f>
        <v>с.п. Сингапай</v>
      </c>
      <c r="D16" s="57">
        <f>'Критерии 2019'!$P$49</f>
        <v>105</v>
      </c>
    </row>
    <row r="17" spans="1:4" ht="18" x14ac:dyDescent="0.3">
      <c r="A17" s="54">
        <v>15</v>
      </c>
      <c r="B17" s="59" t="str">
        <f>'Критерии 2019'!$AA$2</f>
        <v>"Газификация улицы Новоселов"</v>
      </c>
      <c r="C17" s="56" t="str">
        <f>'Критерии 2019'!$AA$1</f>
        <v>с.п. Салым</v>
      </c>
      <c r="D17" s="57">
        <f>'Критерии 2019'!$AA$49</f>
        <v>102</v>
      </c>
    </row>
    <row r="18" spans="1:4" ht="36" x14ac:dyDescent="0.3">
      <c r="A18" s="54">
        <v>16</v>
      </c>
      <c r="B18" s="58" t="str">
        <f>'Критерии 2019'!$V$2</f>
        <v>"Обустройство придомовой территории" д.17а по ул. Центральная с. Чеускино"</v>
      </c>
      <c r="C18" s="56" t="str">
        <f>'Критерии 2019'!$V$1</f>
        <v>с. Чеускино</v>
      </c>
      <c r="D18" s="57">
        <f>'Критерии 2019'!$V$49</f>
        <v>100</v>
      </c>
    </row>
    <row r="19" spans="1:4" s="21" customFormat="1" ht="18" x14ac:dyDescent="0.3">
      <c r="A19" s="54">
        <v>17</v>
      </c>
      <c r="B19" s="55" t="str">
        <f>'Критерии 2019'!E2</f>
        <v>"Безопасный спорт"</v>
      </c>
      <c r="C19" s="56" t="str">
        <f>'Критерии 2019'!E1</f>
        <v>с.п. Куть-Ях</v>
      </c>
      <c r="D19" s="57">
        <f>'Критерии 2019'!E49</f>
        <v>98</v>
      </c>
    </row>
    <row r="20" spans="1:4" s="21" customFormat="1" ht="18" x14ac:dyDescent="0.3">
      <c r="A20" s="54">
        <v>18</v>
      </c>
      <c r="B20" s="55" t="str">
        <f>'Критерии 2019'!F2</f>
        <v>"Комфортная среда досуга"</v>
      </c>
      <c r="C20" s="56" t="str">
        <f>'Критерии 2019'!F1</f>
        <v>с.п. Куть-Ях</v>
      </c>
      <c r="D20" s="57">
        <f>'Критерии 2019'!F49</f>
        <v>98</v>
      </c>
    </row>
    <row r="21" spans="1:4" s="21" customFormat="1" ht="36" x14ac:dyDescent="0.3">
      <c r="A21" s="54">
        <v>19</v>
      </c>
      <c r="B21" s="59" t="str">
        <f>'Критерии 2019'!$AF$2</f>
        <v>Организация и обустройство автомобильной стоянки прилегающей к территории дома №36/37 микрорайона 7</v>
      </c>
      <c r="C21" s="56" t="str">
        <f>'Критерии 2019'!$AF$1</f>
        <v>г.п. Пойковский</v>
      </c>
      <c r="D21" s="57">
        <f>'Критерии 2019'!$AF$49</f>
        <v>98</v>
      </c>
    </row>
    <row r="22" spans="1:4" s="21" customFormat="1" ht="18" x14ac:dyDescent="0.3">
      <c r="A22" s="54">
        <v>20</v>
      </c>
      <c r="B22" s="55" t="str">
        <f>'Критерии 2019'!$J$2</f>
        <v>"Яркий дом, яркий двор, яркий регион"</v>
      </c>
      <c r="C22" s="56" t="str">
        <f>'Критерии 2019'!$J$1</f>
        <v>с.п. Сентябрьский</v>
      </c>
      <c r="D22" s="57">
        <f>'Критерии 2019'!$J$49</f>
        <v>95</v>
      </c>
    </row>
    <row r="23" spans="1:4" s="21" customFormat="1" ht="36" x14ac:dyDescent="0.3">
      <c r="A23" s="54">
        <v>21</v>
      </c>
      <c r="B23" s="59" t="str">
        <f>'Критерии 2019'!$AE$2</f>
        <v>"Устройство пешеходного тротуара по ул. Кедровая до Салымской СОШ №1"</v>
      </c>
      <c r="C23" s="56" t="str">
        <f>'Критерии 2019'!$AE$1</f>
        <v>с.п. Салым</v>
      </c>
      <c r="D23" s="57">
        <f>'Критерии 2019'!$AE$49</f>
        <v>94</v>
      </c>
    </row>
    <row r="24" spans="1:4" s="21" customFormat="1" ht="18" x14ac:dyDescent="0.3">
      <c r="A24" s="54">
        <v>22</v>
      </c>
      <c r="B24" s="55" t="str">
        <f>'Критерии 2019'!$H$2</f>
        <v>"Цветной двор"</v>
      </c>
      <c r="C24" s="56" t="str">
        <f>'Критерии 2019'!$H$1</f>
        <v>с.п. Куть-Ях</v>
      </c>
      <c r="D24" s="57">
        <f>'Критерии 2019'!$H$49</f>
        <v>92</v>
      </c>
    </row>
    <row r="25" spans="1:4" s="21" customFormat="1" ht="18" x14ac:dyDescent="0.3">
      <c r="A25" s="60">
        <v>23</v>
      </c>
      <c r="B25" s="61" t="str">
        <f>'Критерии 2019'!G2</f>
        <v>"Радужные дома"</v>
      </c>
      <c r="C25" s="62" t="str">
        <f>'Критерии 2019'!G1</f>
        <v>с.п. Куть-Ях</v>
      </c>
      <c r="D25" s="63">
        <f>'Критерии 2019'!G49</f>
        <v>87</v>
      </c>
    </row>
    <row r="26" spans="1:4" s="21" customFormat="1" ht="18" x14ac:dyDescent="0.3">
      <c r="A26" s="60">
        <v>24</v>
      </c>
      <c r="B26" s="64" t="str">
        <f>'Критерии 2019'!$AB$2</f>
        <v>"Устройство тротуара по ул. 55 лет Победы до озера Сырковый Сор"</v>
      </c>
      <c r="C26" s="62" t="str">
        <f>'Критерии 2019'!$AB$1</f>
        <v>с.п. Салым</v>
      </c>
      <c r="D26" s="63">
        <f>'Критерии 2019'!$AB$49</f>
        <v>85</v>
      </c>
    </row>
    <row r="27" spans="1:4" s="21" customFormat="1" ht="36" x14ac:dyDescent="0.3">
      <c r="A27" s="60">
        <v>25</v>
      </c>
      <c r="B27" s="64" t="str">
        <f>'Критерии 2019'!$AJ$2</f>
        <v>Организация и обустройство автомобильной стоянки прилегающей к территории дома №1 микрорайона 6</v>
      </c>
      <c r="C27" s="65" t="str">
        <f>'Критерии 2019'!$AJ$1</f>
        <v>г.п. Пойковский</v>
      </c>
      <c r="D27" s="66">
        <f>'Критерии 2019'!$AJ$49</f>
        <v>85</v>
      </c>
    </row>
    <row r="28" spans="1:4" s="21" customFormat="1" ht="36" x14ac:dyDescent="0.3">
      <c r="A28" s="60">
        <v>26</v>
      </c>
      <c r="B28" s="64" t="str">
        <f>'Критерии 2019'!$AH$2</f>
        <v>Организация и обустройство автомобильной стоянки прилегающей к территории дома №58,58/1 микрорайона 3</v>
      </c>
      <c r="C28" s="65" t="str">
        <f>'Критерии 2019'!$AH$1</f>
        <v>г.п. Пойковский</v>
      </c>
      <c r="D28" s="66">
        <f>'Критерии 2019'!$AH$49</f>
        <v>81</v>
      </c>
    </row>
    <row r="29" spans="1:4" s="21" customFormat="1" ht="18" x14ac:dyDescent="0.3">
      <c r="A29" s="51">
        <v>27</v>
      </c>
      <c r="B29" s="44" t="str">
        <f>'Критерии 2019'!$Q$2</f>
        <v xml:space="preserve">"Цветущий поселок" Благоустройство поселка Сингапай </v>
      </c>
      <c r="C29" s="42" t="str">
        <f>'Критерии 2019'!$Q$1</f>
        <v>с.п. Сингапай</v>
      </c>
      <c r="D29" s="43">
        <f>'Критерии 2019'!$Q$49</f>
        <v>80</v>
      </c>
    </row>
    <row r="30" spans="1:4" s="21" customFormat="1" ht="18" x14ac:dyDescent="0.3">
      <c r="A30" s="51">
        <v>28</v>
      </c>
      <c r="B30" s="41" t="str">
        <f>'Критерии 2019'!$Y$2</f>
        <v>"Ограждение ТСН "Боровое" по ул. проезд Магистральный"</v>
      </c>
      <c r="C30" s="42" t="str">
        <f>'Критерии 2019'!$Y$1</f>
        <v>с.п. Салым</v>
      </c>
      <c r="D30" s="43">
        <f>'Критерии 2019'!$Y$49</f>
        <v>80</v>
      </c>
    </row>
    <row r="31" spans="1:4" s="21" customFormat="1" ht="36" x14ac:dyDescent="0.3">
      <c r="A31" s="51">
        <v>29</v>
      </c>
      <c r="B31" s="44" t="str">
        <f>'Критерии 2019'!$AK$2</f>
        <v>Организация и обустройство автомобильной стоянки прилегающей к территории дома №111 микрорайона 3</v>
      </c>
      <c r="C31" s="42" t="str">
        <f>'Критерии 2019'!$AK$1</f>
        <v>г.п. Пойковский</v>
      </c>
      <c r="D31" s="43">
        <f>'Критерии 2019'!$AK$49</f>
        <v>80</v>
      </c>
    </row>
    <row r="32" spans="1:4" s="21" customFormat="1" ht="18" x14ac:dyDescent="0.3">
      <c r="A32" s="51">
        <v>30</v>
      </c>
      <c r="B32" s="41" t="str">
        <f>'Критерии 2019'!$S$2</f>
        <v>"Мое счастливое детство"    Обустройство детской площадки д. 55</v>
      </c>
      <c r="C32" s="42" t="str">
        <f>'Критерии 2019'!$S$1</f>
        <v>с.п. Сингапай</v>
      </c>
      <c r="D32" s="43">
        <f>'Критерии 2019'!$S$49</f>
        <v>76</v>
      </c>
    </row>
    <row r="33" spans="1:4" s="21" customFormat="1" ht="36" x14ac:dyDescent="0.3">
      <c r="A33" s="51">
        <v>31</v>
      </c>
      <c r="B33" s="47" t="str">
        <f>'Критерии 2019'!$AC$2</f>
        <v>"Установка забора по Центральной улице 55 лет Победы в едином стиле"</v>
      </c>
      <c r="C33" s="48" t="str">
        <f>'Критерии 2019'!$AC$1</f>
        <v>с.п. Салым</v>
      </c>
      <c r="D33" s="49">
        <f>'Критерии 2019'!$AC$49</f>
        <v>70</v>
      </c>
    </row>
    <row r="34" spans="1:4" s="21" customFormat="1" ht="36" x14ac:dyDescent="0.3">
      <c r="A34" s="51">
        <v>32</v>
      </c>
      <c r="B34" s="44" t="str">
        <f>'Критерии 2019'!$AL$2</f>
        <v>Организация и обустройство автомобильной стоянки прилегающей к территории дома №13 микрорайона 4</v>
      </c>
      <c r="C34" s="42" t="str">
        <f>'Критерии 2019'!$AL$1</f>
        <v>г.п. Пойковский</v>
      </c>
      <c r="D34" s="49">
        <f>'Критерии 2019'!$AL$49</f>
        <v>70</v>
      </c>
    </row>
    <row r="35" spans="1:4" s="21" customFormat="1" ht="36" x14ac:dyDescent="0.3">
      <c r="A35" s="51">
        <v>33</v>
      </c>
      <c r="B35" s="41" t="str">
        <f>'Критерии 2019'!AG2</f>
        <v>Организация и обустройство автомобильной стоянки прилегающей к территории дома №8 микрорайона 4</v>
      </c>
      <c r="C35" s="45" t="str">
        <f>'Критерии 2019'!$AG$1</f>
        <v>г.п. Пойковский</v>
      </c>
      <c r="D35" s="46">
        <f>'Критерии 2019'!$AG$49</f>
        <v>69</v>
      </c>
    </row>
    <row r="36" spans="1:4" ht="36" x14ac:dyDescent="0.3">
      <c r="A36" s="51">
        <v>34</v>
      </c>
      <c r="B36" s="44" t="str">
        <f>'Критерии 2019'!$AI$2</f>
        <v>Организация и обустройство автомобильной стоянки прилегающей к территории дома №7 микрорайона 4</v>
      </c>
      <c r="C36" s="42" t="str">
        <f>'Критерии 2019'!$AI$1</f>
        <v>г.п. Пойковский</v>
      </c>
      <c r="D36" s="43">
        <f>'Критерии 2019'!$AI$49</f>
        <v>69</v>
      </c>
    </row>
    <row r="37" spans="1:4" x14ac:dyDescent="0.3">
      <c r="B37" s="19"/>
      <c r="C37" s="2"/>
      <c r="D37" s="2"/>
    </row>
    <row r="38" spans="1:4" x14ac:dyDescent="0.3">
      <c r="B38" s="19"/>
      <c r="C38" s="2"/>
      <c r="D38" s="2"/>
    </row>
  </sheetData>
  <sortState ref="A3:E36">
    <sortCondition descending="1" ref="D3"/>
  </sortState>
  <customSheetViews>
    <customSheetView guid="{1C8297EA-FBDC-4B6C-A030-80671E805CF7}" showPageBreaks="1" printArea="1" view="pageBreakPreview" topLeftCell="A3">
      <selection activeCell="D3" sqref="A3:E35"/>
      <pageMargins left="0.7" right="0.7" top="0.75" bottom="0.75" header="0.3" footer="0.3"/>
      <pageSetup paperSize="9" scale="68" orientation="portrait" r:id="rId1"/>
    </customSheetView>
    <customSheetView guid="{BB88F7DE-0D85-4EBA-95A2-F55DB45D50E4}" showPageBreaks="1" printArea="1" view="pageBreakPreview">
      <selection activeCell="B10" sqref="B10"/>
      <pageMargins left="0.70866141732283472" right="0.70866141732283472" top="0.74803149606299213" bottom="0.74803149606299213" header="0.31496062992125984" footer="0.31496062992125984"/>
      <pageSetup paperSize="9" scale="76" orientation="portrait" r:id="rId2"/>
    </customSheetView>
    <customSheetView guid="{7818ED01-037A-421C-8C05-EEF4926917A5}">
      <selection activeCell="A23" sqref="A23"/>
      <pageMargins left="0.7" right="0.7" top="0.75" bottom="0.75" header="0.3" footer="0.3"/>
    </customSheetView>
    <customSheetView guid="{B8DE4105-2838-41CE-A85E-DA5ECFB9F35F}" showPageBreaks="1" printArea="1" view="pageBreakPreview">
      <selection activeCell="B11" sqref="B11"/>
      <pageMargins left="0.7" right="0.7" top="0.75" bottom="0.75" header="0.3" footer="0.3"/>
      <pageSetup paperSize="9" scale="89" orientation="portrait" r:id="rId3"/>
    </customSheetView>
    <customSheetView guid="{C4AB6BA3-F374-4F40-B226-67EE33D5A553}" topLeftCell="A20">
      <selection activeCell="C44" sqref="C44"/>
      <pageMargins left="0.7" right="0.7" top="0.75" bottom="0.75" header="0.3" footer="0.3"/>
      <pageSetup paperSize="9" orientation="portrait" r:id="rId4"/>
    </customSheetView>
  </customSheetViews>
  <mergeCells count="1">
    <mergeCell ref="A1:D1"/>
  </mergeCells>
  <pageMargins left="0.23622047244094491" right="0.23622047244094491" top="0.74803149606299213" bottom="0.74803149606299213" header="0.31496062992125984" footer="0.31496062992125984"/>
  <pageSetup paperSize="9" scale="78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Критерии 2019</vt:lpstr>
      <vt:lpstr>Победители 2019 </vt:lpstr>
      <vt:lpstr>'Критерии 2019'!Область_печати</vt:lpstr>
      <vt:lpstr>'Победители 2019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Звада Дарья Александровна</dc:creator>
  <cp:lastModifiedBy>Звада Дарья Александровна</cp:lastModifiedBy>
  <cp:lastPrinted>2018-09-20T09:06:29Z</cp:lastPrinted>
  <dcterms:created xsi:type="dcterms:W3CDTF">2006-09-16T00:00:00Z</dcterms:created>
  <dcterms:modified xsi:type="dcterms:W3CDTF">2018-09-25T09:31:41Z</dcterms:modified>
</cp:coreProperties>
</file>